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 капитальный" sheetId="2" r:id="rId2"/>
  </sheets>
  <definedNames/>
  <calcPr fullCalcOnLoad="1"/>
</workbook>
</file>

<file path=xl/sharedStrings.xml><?xml version="1.0" encoding="utf-8"?>
<sst xmlns="http://schemas.openxmlformats.org/spreadsheetml/2006/main" count="100" uniqueCount="92">
  <si>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</si>
  <si>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</si>
  <si>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</si>
  <si>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8/1  по ул. Молодежная 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</si>
  <si>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</si>
  <si>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</si>
  <si>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</si>
  <si>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</si>
  <si>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</si>
  <si>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</si>
  <si>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</si>
  <si>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</si>
  <si>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</si>
  <si>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</si>
  <si>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</si>
  <si>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</si>
  <si>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</si>
  <si>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</si>
  <si>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</si>
  <si>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</si>
  <si>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</si>
  <si>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</si>
  <si>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Н/2008-17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</si>
  <si>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</si>
  <si>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</si>
  <si>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</si>
  <si>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</si>
  <si>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</si>
  <si>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</si>
  <si>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</si>
  <si>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</si>
  <si>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</si>
  <si>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</si>
  <si>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</si>
  <si>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</si>
  <si>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</si>
  <si>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</si>
  <si>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за размещение интернет оборудования от ЦИТ "Домашние сети"  2160,00 руб., ПАО "Вымпелком" 3150.00 руб., ООО "Перспектива" 5600.00руб.</t>
  </si>
  <si>
    <t>ЦИТ "Домашние сети",                 ПАО "Вымпелком",                   ООО 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</si>
  <si>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</si>
  <si>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</si>
  <si>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</si>
  <si>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</si>
  <si>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</si>
  <si>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8/1  по ул. Молодежная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</si>
  <si>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</si>
  <si>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</si>
  <si>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</si>
  <si>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</si>
  <si>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</si>
  <si>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</si>
  <si>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</si>
  <si>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</si>
  <si>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</si>
  <si>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</si>
  <si>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 87.60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</si>
  <si>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систем ХВС, ГВС - 3,36 т.р.</t>
  </si>
  <si>
    <t>устройство подливки -3.03 т.р.</t>
  </si>
  <si>
    <t>ремонт лифтового оборудования - 76.00 т.р.</t>
  </si>
  <si>
    <t>ремонт кровли - 0,22 т.р.</t>
  </si>
  <si>
    <t>работы по электрике - 0,29 т.р.</t>
  </si>
  <si>
    <t>смена стекол - 0,83 т.р.</t>
  </si>
  <si>
    <t>прочее - 1.31 т.р.</t>
  </si>
  <si>
    <t>аварийное обслуживание - 2.56</t>
  </si>
  <si>
    <t>2. Отчет  о реализации капитального ремонта жилого фонда ООО "УЮТ-СЕРВИС" за 2016год.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</si>
  <si>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</si>
  <si>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</si>
  <si>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</si>
  <si>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</si>
  <si>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</si>
  <si>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</si>
  <si>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</si>
  <si>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</si>
  <si>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 xml:space="preserve"> Молодежная </t>
  </si>
  <si>
    <t>замена стояков ЦО</t>
  </si>
  <si>
    <t>д.8/1</t>
  </si>
  <si>
    <t>замена нижнего розлива ЦО</t>
  </si>
  <si>
    <t>замена окон</t>
  </si>
  <si>
    <t>замена стояков ХВС, ГВС, ПС</t>
  </si>
  <si>
    <t xml:space="preserve">Итого </t>
  </si>
  <si>
    <t xml:space="preserve">2. </t>
  </si>
  <si>
    <t>Задолженность населения на 01.01.2016г.</t>
  </si>
  <si>
    <t>Начислено за 2016г.</t>
  </si>
  <si>
    <t>Оплачено населением за 2016г.</t>
  </si>
  <si>
    <t>Доля МО Сертолово</t>
  </si>
  <si>
    <t xml:space="preserve">0,00 </t>
  </si>
  <si>
    <t>Задолженность населения на 01.01.2017г.</t>
  </si>
  <si>
    <t xml:space="preserve">3. </t>
  </si>
  <si>
    <t>Остаток средств на лицевом счете на 01.01.2016г.</t>
  </si>
  <si>
    <t>Начислено населению за 2016г.</t>
  </si>
  <si>
    <t xml:space="preserve">Израсходовано </t>
  </si>
  <si>
    <t>Остаток средств на лицевом счете на 01.01.2017г.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</si>
</sst>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Fill="1" applyBorder="1" applyAlignment="1">
      <alignment horizontal="center" vertical="center"/>
      <protection/>
    </xf>
    <xf numFmtId="0" fontId="36" fillId="0" borderId="0" xfId="52" applyFill="1">
      <alignment/>
      <protection/>
    </xf>
    <xf numFmtId="0" fontId="44" fillId="0" borderId="0" xfId="52" applyFont="1" applyAlignment="1">
      <alignment horizontal="center"/>
      <protection/>
    </xf>
    <xf numFmtId="0" fontId="53" fillId="0" borderId="18" xfId="52" applyFont="1" applyBorder="1" applyAlignment="1">
      <alignment horizontal="center"/>
      <protection/>
    </xf>
    <xf numFmtId="0" fontId="53" fillId="0" borderId="0" xfId="52" applyFont="1" applyAlignment="1">
      <alignment horizontal="center"/>
      <protection/>
    </xf>
    <xf numFmtId="0" fontId="53" fillId="0" borderId="19" xfId="52" applyFont="1" applyBorder="1" applyAlignment="1">
      <alignment horizontal="center"/>
      <protection/>
    </xf>
    <xf numFmtId="0" fontId="53" fillId="0" borderId="20" xfId="52" applyFont="1" applyBorder="1" applyAlignment="1">
      <alignment horizontal="center"/>
      <protection/>
    </xf>
    <xf numFmtId="0" fontId="54" fillId="0" borderId="18" xfId="52" applyFont="1" applyBorder="1" applyAlignment="1">
      <alignment horizontal="center" wrapText="1"/>
      <protection/>
    </xf>
    <xf numFmtId="0" fontId="53" fillId="0" borderId="18" xfId="52" applyFont="1" applyBorder="1" applyAlignment="1">
      <alignment horizontal="center" wrapText="1"/>
      <protection/>
    </xf>
    <xf numFmtId="0" fontId="54" fillId="0" borderId="21" xfId="52" applyFont="1" applyBorder="1" applyAlignment="1">
      <alignment horizontal="center"/>
      <protection/>
    </xf>
    <xf numFmtId="0" fontId="53" fillId="0" borderId="0" xfId="52" applyFont="1" applyBorder="1" applyAlignment="1">
      <alignment horizontal="center"/>
      <protection/>
    </xf>
    <xf numFmtId="0" fontId="54" fillId="0" borderId="21" xfId="52" applyFont="1" applyBorder="1" applyAlignment="1">
      <alignment horizontal="center" wrapText="1"/>
      <protection/>
    </xf>
    <xf numFmtId="0" fontId="54" fillId="0" borderId="17" xfId="52" applyFont="1" applyBorder="1" applyAlignment="1">
      <alignment horizontal="center" wrapText="1"/>
      <protection/>
    </xf>
    <xf numFmtId="0" fontId="54" fillId="0" borderId="22" xfId="52" applyFont="1" applyBorder="1" applyAlignment="1">
      <alignment horizontal="center" wrapText="1"/>
      <protection/>
    </xf>
    <xf numFmtId="0" fontId="55" fillId="0" borderId="23" xfId="52" applyFont="1" applyBorder="1" applyAlignment="1">
      <alignment horizontal="center"/>
      <protection/>
    </xf>
    <xf numFmtId="0" fontId="44" fillId="0" borderId="21" xfId="52" applyFont="1" applyBorder="1" applyAlignment="1">
      <alignment horizontal="center"/>
      <protection/>
    </xf>
    <xf numFmtId="4" fontId="55" fillId="0" borderId="17" xfId="52" applyNumberFormat="1" applyFont="1" applyBorder="1" applyAlignment="1">
      <alignment horizontal="center"/>
      <protection/>
    </xf>
    <xf numFmtId="0" fontId="44" fillId="0" borderId="17" xfId="52" applyFont="1" applyBorder="1" applyAlignment="1">
      <alignment horizontal="center"/>
      <protection/>
    </xf>
    <xf numFmtId="0" fontId="56" fillId="0" borderId="17" xfId="52" applyFont="1" applyBorder="1" applyAlignment="1">
      <alignment horizontal="center"/>
      <protection/>
    </xf>
    <xf numFmtId="4" fontId="56" fillId="0" borderId="17" xfId="52" applyNumberFormat="1" applyFont="1" applyBorder="1" applyAlignment="1">
      <alignment horizontal="center"/>
      <protection/>
    </xf>
    <xf numFmtId="0" fontId="55" fillId="0" borderId="24" xfId="52" applyFont="1" applyBorder="1">
      <alignment/>
      <protection/>
    </xf>
    <xf numFmtId="0" fontId="55" fillId="0" borderId="25" xfId="52" applyFont="1" applyBorder="1">
      <alignment/>
      <protection/>
    </xf>
    <xf numFmtId="4" fontId="56" fillId="0" borderId="17" xfId="52" applyNumberFormat="1" applyFont="1" applyBorder="1" applyAlignment="1">
      <alignment horizontal="right"/>
      <protection/>
    </xf>
    <xf numFmtId="4" fontId="55" fillId="0" borderId="17" xfId="52" applyNumberFormat="1" applyFont="1" applyBorder="1" applyAlignment="1">
      <alignment horizontal="right"/>
      <protection/>
    </xf>
    <xf numFmtId="0" fontId="36" fillId="0" borderId="0" xfId="52" applyBorder="1">
      <alignment/>
      <protection/>
    </xf>
    <xf numFmtId="0" fontId="55" fillId="0" borderId="24" xfId="52" applyFont="1" applyFill="1" applyBorder="1">
      <alignment/>
      <protection/>
    </xf>
    <xf numFmtId="0" fontId="55" fillId="0" borderId="26" xfId="52" applyFont="1" applyBorder="1">
      <alignment/>
      <protection/>
    </xf>
    <xf numFmtId="0" fontId="55" fillId="0" borderId="27" xfId="52" applyFont="1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5" fillId="0" borderId="21" xfId="52" applyFont="1" applyBorder="1" applyAlignment="1">
      <alignment horizontal="left"/>
      <protection/>
    </xf>
    <xf numFmtId="0" fontId="55" fillId="0" borderId="17" xfId="52" applyFont="1" applyBorder="1" applyAlignment="1">
      <alignment horizontal="left"/>
      <protection/>
    </xf>
    <xf numFmtId="0" fontId="55" fillId="0" borderId="24" xfId="52" applyFont="1" applyBorder="1" applyAlignment="1">
      <alignment horizontal="left"/>
      <protection/>
    </xf>
    <xf numFmtId="0" fontId="55" fillId="0" borderId="33" xfId="52" applyFont="1" applyBorder="1" applyAlignment="1">
      <alignment horizontal="left"/>
      <protection/>
    </xf>
    <xf numFmtId="0" fontId="36" fillId="0" borderId="0" xfId="52" applyAlignment="1">
      <alignment horizontal="center"/>
      <protection/>
    </xf>
    <xf numFmtId="0" fontId="44" fillId="0" borderId="0" xfId="52" applyFont="1" applyAlignment="1">
      <alignment horizontal="center"/>
      <protection/>
    </xf>
    <xf numFmtId="0" fontId="54" fillId="0" borderId="24" xfId="52" applyFont="1" applyBorder="1" applyAlignment="1">
      <alignment horizontal="center"/>
      <protection/>
    </xf>
    <xf numFmtId="0" fontId="54" fillId="0" borderId="33" xfId="52" applyFont="1" applyBorder="1" applyAlignment="1">
      <alignment horizontal="center"/>
      <protection/>
    </xf>
    <xf numFmtId="0" fontId="54" fillId="0" borderId="26" xfId="52" applyFont="1" applyBorder="1" applyAlignment="1">
      <alignment horizontal="center"/>
      <protection/>
    </xf>
    <xf numFmtId="0" fontId="54" fillId="0" borderId="22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9"/>
  <sheetViews>
    <sheetView zoomScalePageLayoutView="0" workbookViewId="0" topLeftCell="C13">
      <selection activeCell="D45" sqref="D4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625" style="33" customWidth="1"/>
    <col min="4" max="4" width="13.6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125" style="33" customWidth="1"/>
    <col min="9" max="9" width="26.125" style="33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76" t="s">
        <v>1</v>
      </c>
      <c r="D19" s="76"/>
      <c r="E19" s="76"/>
      <c r="F19" s="76"/>
      <c r="G19" s="76"/>
      <c r="H19" s="76"/>
      <c r="I19" s="76"/>
    </row>
    <row r="20" spans="3:9" ht="12.75">
      <c r="C20" s="77" t="s">
        <v>2</v>
      </c>
      <c r="D20" s="77"/>
      <c r="E20" s="77"/>
      <c r="F20" s="77"/>
      <c r="G20" s="77"/>
      <c r="H20" s="77"/>
      <c r="I20" s="77"/>
    </row>
    <row r="21" spans="3:9" ht="12.75">
      <c r="C21" s="77" t="s">
        <v>3</v>
      </c>
      <c r="D21" s="77"/>
      <c r="E21" s="77"/>
      <c r="F21" s="77"/>
      <c r="G21" s="77"/>
      <c r="H21" s="77"/>
      <c r="I21" s="77"/>
    </row>
    <row r="22" spans="3:9" ht="6" customHeight="1" thickBot="1">
      <c r="C22" s="78"/>
      <c r="D22" s="78"/>
      <c r="E22" s="78"/>
      <c r="F22" s="78"/>
      <c r="G22" s="78"/>
      <c r="H22" s="78"/>
      <c r="I22" s="78"/>
    </row>
    <row r="23" spans="3:9" ht="54" customHeight="1" thickBot="1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>
      <c r="C24" s="79" t="s">
        <v>11</v>
      </c>
      <c r="D24" s="69"/>
      <c r="E24" s="69"/>
      <c r="F24" s="69"/>
      <c r="G24" s="69"/>
      <c r="H24" s="69"/>
      <c r="I24" s="80"/>
    </row>
    <row r="25" spans="3:11" ht="13.5" customHeight="1" thickBot="1">
      <c r="C25" s="12" t="s">
        <v>12</v>
      </c>
      <c r="D25" s="13">
        <v>338816.75</v>
      </c>
      <c r="E25" s="14">
        <v>1799199.9</v>
      </c>
      <c r="F25" s="14">
        <f>1722435.07+624.36+2534.37+5015.85</f>
        <v>1730609.6500000004</v>
      </c>
      <c r="G25" s="14">
        <v>1785301.17</v>
      </c>
      <c r="H25" s="14">
        <f>+D25+E25-F25</f>
        <v>407406.99999999953</v>
      </c>
      <c r="I25" s="81" t="s">
        <v>13</v>
      </c>
      <c r="K25" s="15">
        <f>280945.01+16349.1+68248.58+41864.31</f>
        <v>407407</v>
      </c>
    </row>
    <row r="26" spans="3:11" ht="13.5" customHeight="1" thickBot="1">
      <c r="C26" s="12" t="s">
        <v>14</v>
      </c>
      <c r="D26" s="13">
        <v>72529.88</v>
      </c>
      <c r="E26" s="16">
        <f>578145.99-60861.83</f>
        <v>517284.16</v>
      </c>
      <c r="F26" s="16">
        <f>464059.66+1958.7+3177.18+483.05</f>
        <v>469678.58999999997</v>
      </c>
      <c r="G26" s="14">
        <v>579785.71</v>
      </c>
      <c r="H26" s="14">
        <f>+D26+E26-F26</f>
        <v>120135.45000000007</v>
      </c>
      <c r="I26" s="82"/>
      <c r="K26" s="15">
        <f>79033.26-12125.4+8852.42-3.3+36176.27+8202.2</f>
        <v>120135.45</v>
      </c>
    </row>
    <row r="27" spans="3:11" ht="13.5" customHeight="1" thickBot="1">
      <c r="C27" s="12" t="s">
        <v>15</v>
      </c>
      <c r="D27" s="13">
        <v>54670.30000000005</v>
      </c>
      <c r="E27" s="16">
        <f>357660.07-16752.72</f>
        <v>340907.35</v>
      </c>
      <c r="F27" s="16">
        <f>321056.13+2614.56+267.12</f>
        <v>323937.81</v>
      </c>
      <c r="G27" s="14">
        <v>332630.21</v>
      </c>
      <c r="H27" s="14">
        <f>+D27+E27-F27</f>
        <v>71639.84000000003</v>
      </c>
      <c r="I27" s="82"/>
      <c r="K27" s="2">
        <f>4166.44+49759.25-1728.09+19442.24</f>
        <v>71639.84000000001</v>
      </c>
    </row>
    <row r="28" spans="3:11" ht="13.5" customHeight="1" thickBot="1">
      <c r="C28" s="12" t="s">
        <v>16</v>
      </c>
      <c r="D28" s="13">
        <v>29485.46000000002</v>
      </c>
      <c r="E28" s="16">
        <f>125511.84-4646.88+81137.21-9088.85</f>
        <v>192913.31999999998</v>
      </c>
      <c r="F28" s="16">
        <f>938.46+113848.86+393.93+64658.77+59.71</f>
        <v>179899.72999999998</v>
      </c>
      <c r="G28" s="14">
        <v>193928.67</v>
      </c>
      <c r="H28" s="14">
        <f>+D28+E28-F28</f>
        <v>42499.05000000002</v>
      </c>
      <c r="I28" s="82"/>
      <c r="K28" s="2">
        <f>6830.49+19299.29-606.45+5608.74+12027.02-1683.85+1023.81</f>
        <v>42499.049999999996</v>
      </c>
    </row>
    <row r="29" spans="3:11" ht="13.5" customHeight="1" thickBot="1">
      <c r="C29" s="12" t="s">
        <v>17</v>
      </c>
      <c r="D29" s="13">
        <v>2417.949999999999</v>
      </c>
      <c r="E29" s="16">
        <f>5089.58+19970.88</f>
        <v>25060.46</v>
      </c>
      <c r="F29" s="16">
        <f>0.14+1.6+3979+18768.43+38.05</f>
        <v>22787.219999999998</v>
      </c>
      <c r="G29" s="14">
        <f>36746.96+10338.74</f>
        <v>47085.7</v>
      </c>
      <c r="H29" s="14">
        <f>+D29+E29-F29</f>
        <v>4691.189999999999</v>
      </c>
      <c r="I29" s="83"/>
      <c r="K29" s="2">
        <f>2.14+25.9+963.04-87.85+3421.74+366.22</f>
        <v>4691.19</v>
      </c>
    </row>
    <row r="30" spans="3:9" ht="13.5" customHeight="1" thickBot="1">
      <c r="C30" s="12" t="s">
        <v>18</v>
      </c>
      <c r="D30" s="17">
        <f>SUM(D25:D29)</f>
        <v>497920.3400000001</v>
      </c>
      <c r="E30" s="17">
        <f>SUM(E25:E29)</f>
        <v>2875365.19</v>
      </c>
      <c r="F30" s="17">
        <f>SUM(F25:F29)</f>
        <v>2726913.0000000005</v>
      </c>
      <c r="G30" s="17">
        <f>SUM(G25:G29)</f>
        <v>2938731.46</v>
      </c>
      <c r="H30" s="17">
        <f>SUM(H25:H29)</f>
        <v>646372.5299999996</v>
      </c>
      <c r="I30" s="12"/>
    </row>
    <row r="31" spans="3:9" ht="13.5" customHeight="1" thickBot="1">
      <c r="C31" s="69" t="s">
        <v>19</v>
      </c>
      <c r="D31" s="69"/>
      <c r="E31" s="69"/>
      <c r="F31" s="69"/>
      <c r="G31" s="69"/>
      <c r="H31" s="69"/>
      <c r="I31" s="69"/>
    </row>
    <row r="32" spans="3:9" ht="55.5" customHeight="1" thickBot="1">
      <c r="C32" s="18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9" t="s">
        <v>20</v>
      </c>
    </row>
    <row r="33" spans="3:11" ht="24.75" customHeight="1" thickBot="1">
      <c r="C33" s="9" t="s">
        <v>21</v>
      </c>
      <c r="D33" s="20">
        <v>207320.79000000004</v>
      </c>
      <c r="E33" s="21">
        <f>1309490.24+18822.16+2179.11+5468.94+1299.14</f>
        <v>1337259.5899999999</v>
      </c>
      <c r="F33" s="21">
        <f>1253015.22+19.2+2.07+16376.47+1913.9+4750.12+1125.27</f>
        <v>1277202.25</v>
      </c>
      <c r="G33" s="14">
        <f>++E33</f>
        <v>1337259.5899999999</v>
      </c>
      <c r="H33" s="21">
        <f aca="true" t="shared" si="0" ref="H33:H41">+D33+E33-F33</f>
        <v>267378.1299999999</v>
      </c>
      <c r="I33" s="70" t="s">
        <v>22</v>
      </c>
      <c r="J33" s="22">
        <f>263660.03+45.94-5.04+4.94-0.74+2445.69+265.21+775.31+186.79-H33</f>
        <v>0</v>
      </c>
      <c r="K33" s="22">
        <f>+D33-209249.84+2064.83-65.14+5.04-7.01+0.74-59.4+2.91-13.59+0.67</f>
        <v>4.06698008603712E-11</v>
      </c>
    </row>
    <row r="34" spans="3:10" ht="14.25" customHeight="1" thickBot="1">
      <c r="C34" s="12" t="s">
        <v>23</v>
      </c>
      <c r="D34" s="13">
        <v>43360.56999999998</v>
      </c>
      <c r="E34" s="14">
        <v>261403.51</v>
      </c>
      <c r="F34" s="14">
        <v>249806.69</v>
      </c>
      <c r="G34" s="14">
        <v>87596.71</v>
      </c>
      <c r="H34" s="21">
        <f t="shared" si="0"/>
        <v>54957.389999999956</v>
      </c>
      <c r="I34" s="71"/>
      <c r="J34" s="22"/>
    </row>
    <row r="35" spans="3:9" ht="13.5" customHeight="1" thickBot="1">
      <c r="C35" s="18" t="s">
        <v>24</v>
      </c>
      <c r="D35" s="23">
        <v>35.3700000000008</v>
      </c>
      <c r="E35" s="14">
        <v>158729.13</v>
      </c>
      <c r="F35" s="14">
        <v>139571.7</v>
      </c>
      <c r="G35" s="14">
        <v>368900</v>
      </c>
      <c r="H35" s="21">
        <f t="shared" si="0"/>
        <v>19192.79999999999</v>
      </c>
      <c r="I35" s="24"/>
    </row>
    <row r="36" spans="3:9" ht="12.75" customHeight="1" thickBot="1">
      <c r="C36" s="12" t="s">
        <v>25</v>
      </c>
      <c r="D36" s="13">
        <v>29654.050000000047</v>
      </c>
      <c r="E36" s="14">
        <v>162171.31</v>
      </c>
      <c r="F36" s="14">
        <v>157296.21</v>
      </c>
      <c r="G36" s="14">
        <f>+E36</f>
        <v>162171.31</v>
      </c>
      <c r="H36" s="21">
        <f t="shared" si="0"/>
        <v>34529.15000000005</v>
      </c>
      <c r="I36" s="24" t="s">
        <v>26</v>
      </c>
    </row>
    <row r="37" spans="3:11" ht="26.25" customHeight="1" thickBot="1">
      <c r="C37" s="12" t="s">
        <v>27</v>
      </c>
      <c r="D37" s="13">
        <v>44585.79999999993</v>
      </c>
      <c r="E37" s="14">
        <f>66661.1+217764.42</f>
        <v>284425.52</v>
      </c>
      <c r="F37" s="14">
        <f>79447.84+1647.67+191279.59</f>
        <v>272375.1</v>
      </c>
      <c r="G37" s="14">
        <v>182922.92</v>
      </c>
      <c r="H37" s="21">
        <f t="shared" si="0"/>
        <v>56636.21999999997</v>
      </c>
      <c r="I37" s="25" t="s">
        <v>28</v>
      </c>
      <c r="J37" s="2">
        <f>23301.37-440.19+21724.62</f>
        <v>44585.8</v>
      </c>
      <c r="K37" s="2">
        <f>10074.44+20076.95+26484.83</f>
        <v>56636.22</v>
      </c>
    </row>
    <row r="38" spans="3:9" ht="27" customHeight="1" thickBot="1">
      <c r="C38" s="12" t="s">
        <v>29</v>
      </c>
      <c r="D38" s="13">
        <v>2000.4700000000012</v>
      </c>
      <c r="E38" s="16">
        <v>12871.74</v>
      </c>
      <c r="F38" s="16">
        <v>12280.8</v>
      </c>
      <c r="G38" s="14">
        <f>+E38</f>
        <v>12871.74</v>
      </c>
      <c r="H38" s="21">
        <f t="shared" si="0"/>
        <v>2591.4100000000017</v>
      </c>
      <c r="I38" s="25" t="s">
        <v>30</v>
      </c>
    </row>
    <row r="39" spans="3:9" ht="13.5" customHeight="1" thickBot="1">
      <c r="C39" s="18" t="s">
        <v>31</v>
      </c>
      <c r="D39" s="13">
        <v>27800.52999999991</v>
      </c>
      <c r="E39" s="16">
        <v>49224.12</v>
      </c>
      <c r="F39" s="16">
        <v>58063.84</v>
      </c>
      <c r="G39" s="14">
        <f>+E39</f>
        <v>49224.12</v>
      </c>
      <c r="H39" s="21">
        <f t="shared" si="0"/>
        <v>18960.80999999991</v>
      </c>
      <c r="I39" s="24"/>
    </row>
    <row r="40" spans="3:11" ht="13.5" customHeight="1" thickBot="1">
      <c r="C40" s="18" t="s">
        <v>32</v>
      </c>
      <c r="D40" s="13">
        <v>2421.62</v>
      </c>
      <c r="E40" s="16">
        <f>14801.7+102.24+20863.33+50.62</f>
        <v>35817.89000000001</v>
      </c>
      <c r="F40" s="16">
        <f>10331.48+16979.68</f>
        <v>27311.16</v>
      </c>
      <c r="G40" s="14">
        <f>+E40</f>
        <v>35817.89000000001</v>
      </c>
      <c r="H40" s="21">
        <f t="shared" si="0"/>
        <v>10928.35000000001</v>
      </c>
      <c r="I40" s="24"/>
      <c r="J40" s="2">
        <f>1455.97+965.65</f>
        <v>2421.62</v>
      </c>
      <c r="K40" s="2">
        <f>4899.92+6028.43</f>
        <v>10928.35</v>
      </c>
    </row>
    <row r="41" spans="3:9" ht="13.5" customHeight="1" thickBot="1">
      <c r="C41" s="12" t="s">
        <v>33</v>
      </c>
      <c r="D41" s="26">
        <v>9203.550000000003</v>
      </c>
      <c r="E41" s="16">
        <v>61143.92</v>
      </c>
      <c r="F41" s="16">
        <v>58387.57</v>
      </c>
      <c r="G41" s="14">
        <f>+E41</f>
        <v>61143.92</v>
      </c>
      <c r="H41" s="21">
        <f t="shared" si="0"/>
        <v>11959.900000000001</v>
      </c>
      <c r="I41" s="25" t="s">
        <v>34</v>
      </c>
    </row>
    <row r="42" spans="3:9" s="28" customFormat="1" ht="13.5" customHeight="1" thickBot="1">
      <c r="C42" s="12" t="s">
        <v>18</v>
      </c>
      <c r="D42" s="17">
        <f>SUM(D33:D41)</f>
        <v>366382.7499999998</v>
      </c>
      <c r="E42" s="17">
        <f>SUM(E33:E41)</f>
        <v>2363046.7300000004</v>
      </c>
      <c r="F42" s="17">
        <f>SUM(F33:F41)</f>
        <v>2252295.3199999994</v>
      </c>
      <c r="G42" s="17">
        <f>SUM(G33:G41)</f>
        <v>2297908.2</v>
      </c>
      <c r="H42" s="17">
        <f>SUM(H33:H41)</f>
        <v>477134.15999999974</v>
      </c>
      <c r="I42" s="27"/>
    </row>
    <row r="43" spans="3:9" ht="13.5" customHeight="1" thickBot="1">
      <c r="C43" s="72" t="s">
        <v>35</v>
      </c>
      <c r="D43" s="72"/>
      <c r="E43" s="72"/>
      <c r="F43" s="72"/>
      <c r="G43" s="72"/>
      <c r="H43" s="72"/>
      <c r="I43" s="72"/>
    </row>
    <row r="44" spans="3:9" ht="27.75" customHeight="1" thickBot="1">
      <c r="C44" s="29" t="s">
        <v>36</v>
      </c>
      <c r="D44" s="73" t="s">
        <v>37</v>
      </c>
      <c r="E44" s="74"/>
      <c r="F44" s="74"/>
      <c r="G44" s="74"/>
      <c r="H44" s="75"/>
      <c r="I44" s="30" t="s">
        <v>38</v>
      </c>
    </row>
    <row r="45" spans="3:8" ht="26.25" customHeight="1">
      <c r="C45" s="31" t="s">
        <v>39</v>
      </c>
      <c r="D45" s="31"/>
      <c r="E45" s="31"/>
      <c r="F45" s="31"/>
      <c r="G45" s="31"/>
      <c r="H45" s="32">
        <f>+H30+H42</f>
        <v>1123506.6899999992</v>
      </c>
    </row>
    <row r="46" spans="3:4" ht="15" hidden="1">
      <c r="C46" s="34" t="s">
        <v>40</v>
      </c>
      <c r="D46" s="34"/>
    </row>
    <row r="47" ht="12.75" customHeight="1">
      <c r="C47" s="35" t="s">
        <v>41</v>
      </c>
    </row>
    <row r="49" spans="4:8" ht="12.75">
      <c r="D49" s="36"/>
      <c r="E49" s="36"/>
      <c r="F49" s="36"/>
      <c r="G49" s="36"/>
      <c r="H49" s="36"/>
    </row>
  </sheetData>
  <sheetProtection/>
  <mergeCells count="10">
    <mergeCell ref="C31:I31"/>
    <mergeCell ref="I33:I34"/>
    <mergeCell ref="C43:I43"/>
    <mergeCell ref="D44:H44"/>
    <mergeCell ref="C19:I19"/>
    <mergeCell ref="C20:I20"/>
    <mergeCell ref="C21:I21"/>
    <mergeCell ref="C22:I22"/>
    <mergeCell ref="C24:I24"/>
    <mergeCell ref="I25:I29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I51"/>
  <sheetViews>
    <sheetView tabSelected="1" zoomScaleSheetLayoutView="120" zoomScalePageLayoutView="0" workbookViewId="0" topLeftCell="A33">
      <selection activeCell="M36" sqref="M36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4.25390625" style="37" customWidth="1"/>
    <col min="10" max="16384" width="9.125" style="37" customWidth="1"/>
  </cols>
  <sheetData>
    <row r="17" spans="1:9" ht="15">
      <c r="A17" s="88" t="s">
        <v>42</v>
      </c>
      <c r="B17" s="88"/>
      <c r="C17" s="88"/>
      <c r="D17" s="88"/>
      <c r="E17" s="88"/>
      <c r="F17" s="88"/>
      <c r="G17" s="88"/>
      <c r="H17" s="88"/>
      <c r="I17" s="88"/>
    </row>
    <row r="18" spans="1:9" ht="15">
      <c r="A18" s="88" t="s">
        <v>43</v>
      </c>
      <c r="B18" s="88"/>
      <c r="C18" s="88"/>
      <c r="D18" s="88"/>
      <c r="E18" s="88"/>
      <c r="F18" s="88"/>
      <c r="G18" s="88"/>
      <c r="H18" s="88"/>
      <c r="I18" s="88"/>
    </row>
    <row r="19" spans="1:9" ht="15">
      <c r="A19" s="88" t="s">
        <v>44</v>
      </c>
      <c r="B19" s="88"/>
      <c r="C19" s="88"/>
      <c r="D19" s="88"/>
      <c r="E19" s="88"/>
      <c r="F19" s="88"/>
      <c r="G19" s="88"/>
      <c r="H19" s="88"/>
      <c r="I19" s="88"/>
    </row>
    <row r="20" spans="1:9" ht="60">
      <c r="A20" s="38" t="s">
        <v>45</v>
      </c>
      <c r="B20" s="38" t="s">
        <v>46</v>
      </c>
      <c r="C20" s="38" t="s">
        <v>47</v>
      </c>
      <c r="D20" s="38" t="s">
        <v>48</v>
      </c>
      <c r="E20" s="38" t="s">
        <v>49</v>
      </c>
      <c r="F20" s="39" t="s">
        <v>50</v>
      </c>
      <c r="G20" s="39" t="s">
        <v>51</v>
      </c>
      <c r="H20" s="38" t="s">
        <v>52</v>
      </c>
      <c r="I20" s="38" t="s">
        <v>53</v>
      </c>
    </row>
    <row r="21" spans="1:9" ht="15">
      <c r="A21" s="40" t="s">
        <v>54</v>
      </c>
      <c r="B21" s="41">
        <v>-20.05064</v>
      </c>
      <c r="C21" s="41"/>
      <c r="D21" s="41">
        <v>261.40351</v>
      </c>
      <c r="E21" s="41">
        <v>249.80669</v>
      </c>
      <c r="F21" s="41">
        <v>10.91</v>
      </c>
      <c r="G21" s="41">
        <v>87.59671</v>
      </c>
      <c r="H21" s="41">
        <v>54.95739</v>
      </c>
      <c r="I21" s="41">
        <f>B21+D21+F21-G21</f>
        <v>164.66616</v>
      </c>
    </row>
    <row r="23" ht="15">
      <c r="A23" s="37" t="s">
        <v>55</v>
      </c>
    </row>
    <row r="24" ht="15">
      <c r="A24" s="42" t="s">
        <v>56</v>
      </c>
    </row>
    <row r="25" ht="15">
      <c r="A25" s="42" t="s">
        <v>57</v>
      </c>
    </row>
    <row r="26" ht="15">
      <c r="A26" s="42" t="s">
        <v>58</v>
      </c>
    </row>
    <row r="27" ht="15">
      <c r="A27" s="42" t="s">
        <v>59</v>
      </c>
    </row>
    <row r="28" ht="15">
      <c r="A28" s="42" t="s">
        <v>60</v>
      </c>
    </row>
    <row r="29" ht="15">
      <c r="A29" s="42" t="s">
        <v>61</v>
      </c>
    </row>
    <row r="30" ht="15">
      <c r="A30" s="42" t="s">
        <v>62</v>
      </c>
    </row>
    <row r="31" ht="15">
      <c r="A31" s="42" t="s">
        <v>63</v>
      </c>
    </row>
    <row r="33" spans="1:9" ht="15">
      <c r="A33" s="89" t="s">
        <v>64</v>
      </c>
      <c r="B33" s="89"/>
      <c r="C33" s="89"/>
      <c r="D33" s="89"/>
      <c r="E33" s="89"/>
      <c r="F33" s="89"/>
      <c r="G33" s="89"/>
      <c r="H33" s="89"/>
      <c r="I33" s="89"/>
    </row>
    <row r="34" spans="1:9" ht="15">
      <c r="A34" s="43" t="s">
        <v>54</v>
      </c>
      <c r="B34" s="44"/>
      <c r="C34" s="45"/>
      <c r="D34" s="46"/>
      <c r="E34" s="47"/>
      <c r="F34" s="48" t="s">
        <v>65</v>
      </c>
      <c r="G34" s="49"/>
      <c r="H34" s="90" t="s">
        <v>66</v>
      </c>
      <c r="I34" s="91"/>
    </row>
    <row r="35" spans="1:9" ht="24.75">
      <c r="A35" s="43"/>
      <c r="B35" s="50" t="s">
        <v>67</v>
      </c>
      <c r="C35" s="51"/>
      <c r="D35" s="92" t="s">
        <v>68</v>
      </c>
      <c r="E35" s="93"/>
      <c r="F35" s="52" t="s">
        <v>69</v>
      </c>
      <c r="G35" s="52" t="s">
        <v>70</v>
      </c>
      <c r="H35" s="53" t="s">
        <v>71</v>
      </c>
      <c r="I35" s="54" t="s">
        <v>72</v>
      </c>
    </row>
    <row r="36" spans="1:9" ht="15">
      <c r="A36" s="43"/>
      <c r="B36" s="55" t="s">
        <v>73</v>
      </c>
      <c r="C36" s="43"/>
      <c r="D36" s="84" t="s">
        <v>74</v>
      </c>
      <c r="E36" s="84"/>
      <c r="F36" s="56"/>
      <c r="G36" s="57">
        <f>H36+I36</f>
        <v>517.1</v>
      </c>
      <c r="H36" s="57">
        <v>51.7</v>
      </c>
      <c r="I36" s="57">
        <v>465.4</v>
      </c>
    </row>
    <row r="37" spans="1:9" ht="15">
      <c r="A37" s="43"/>
      <c r="B37" s="55" t="s">
        <v>75</v>
      </c>
      <c r="C37" s="43"/>
      <c r="D37" s="85" t="s">
        <v>76</v>
      </c>
      <c r="E37" s="85"/>
      <c r="F37" s="58"/>
      <c r="G37" s="57">
        <f>H37+I37</f>
        <v>1193.5</v>
      </c>
      <c r="H37" s="57">
        <v>119.4</v>
      </c>
      <c r="I37" s="57">
        <v>1074.1</v>
      </c>
    </row>
    <row r="38" spans="1:9" ht="15">
      <c r="A38" s="43"/>
      <c r="B38" s="55"/>
      <c r="C38" s="43"/>
      <c r="D38" s="86" t="s">
        <v>77</v>
      </c>
      <c r="E38" s="87"/>
      <c r="F38" s="58"/>
      <c r="G38" s="57">
        <f>H38+I38</f>
        <v>765.6</v>
      </c>
      <c r="H38" s="57">
        <v>76.6</v>
      </c>
      <c r="I38" s="57">
        <v>689</v>
      </c>
    </row>
    <row r="39" spans="1:9" ht="15">
      <c r="A39" s="43"/>
      <c r="B39" s="56"/>
      <c r="C39" s="43"/>
      <c r="D39" s="85" t="s">
        <v>78</v>
      </c>
      <c r="E39" s="85"/>
      <c r="F39" s="58"/>
      <c r="G39" s="57">
        <f>H39+I39</f>
        <v>1207.38</v>
      </c>
      <c r="H39" s="57">
        <v>121.2</v>
      </c>
      <c r="I39" s="57">
        <v>1086.18</v>
      </c>
    </row>
    <row r="40" spans="1:9" ht="15">
      <c r="A40" s="43"/>
      <c r="B40" s="59" t="s">
        <v>79</v>
      </c>
      <c r="C40" s="43"/>
      <c r="D40" s="43"/>
      <c r="E40" s="43"/>
      <c r="F40" s="43"/>
      <c r="G40" s="60">
        <f>SUM(G36:G39)</f>
        <v>3683.58</v>
      </c>
      <c r="H40" s="60">
        <f>SUM(H36:H39)</f>
        <v>368.90000000000003</v>
      </c>
      <c r="I40" s="60">
        <f>SUM(I36:I39)</f>
        <v>3314.6800000000003</v>
      </c>
    </row>
    <row r="42" spans="1:6" ht="15">
      <c r="A42" s="37" t="s">
        <v>80</v>
      </c>
      <c r="B42" s="61" t="s">
        <v>81</v>
      </c>
      <c r="C42" s="62"/>
      <c r="D42" s="62"/>
      <c r="E42" s="62"/>
      <c r="F42" s="63">
        <v>35.37</v>
      </c>
    </row>
    <row r="43" spans="2:6" ht="15">
      <c r="B43" s="61" t="s">
        <v>82</v>
      </c>
      <c r="C43" s="62"/>
      <c r="D43" s="62"/>
      <c r="E43" s="62"/>
      <c r="F43" s="64">
        <v>158729.13</v>
      </c>
    </row>
    <row r="44" spans="2:6" ht="15">
      <c r="B44" s="61" t="s">
        <v>83</v>
      </c>
      <c r="C44" s="62"/>
      <c r="D44" s="62"/>
      <c r="E44" s="62"/>
      <c r="F44" s="64">
        <v>139571.7</v>
      </c>
    </row>
    <row r="45" spans="2:6" ht="15">
      <c r="B45" s="61" t="s">
        <v>84</v>
      </c>
      <c r="C45" s="62"/>
      <c r="D45" s="62"/>
      <c r="E45" s="62"/>
      <c r="F45" s="64" t="s">
        <v>85</v>
      </c>
    </row>
    <row r="46" spans="2:6" ht="15">
      <c r="B46" s="61" t="s">
        <v>86</v>
      </c>
      <c r="C46" s="62"/>
      <c r="D46" s="62"/>
      <c r="E46" s="62"/>
      <c r="F46" s="63">
        <f>F42+F43-F44</f>
        <v>19192.79999999999</v>
      </c>
    </row>
    <row r="47" spans="2:7" ht="15">
      <c r="B47" s="65"/>
      <c r="C47" s="65"/>
      <c r="D47" s="65"/>
      <c r="E47" s="65"/>
      <c r="F47" s="65"/>
      <c r="G47" s="65"/>
    </row>
    <row r="48" spans="1:7" ht="15">
      <c r="A48" s="37" t="s">
        <v>87</v>
      </c>
      <c r="B48" s="61" t="s">
        <v>88</v>
      </c>
      <c r="C48" s="62"/>
      <c r="D48" s="62"/>
      <c r="E48" s="62"/>
      <c r="F48" s="62"/>
      <c r="G48" s="63">
        <v>-9604.46</v>
      </c>
    </row>
    <row r="49" spans="2:7" ht="15">
      <c r="B49" s="61" t="s">
        <v>89</v>
      </c>
      <c r="C49" s="62"/>
      <c r="D49" s="62"/>
      <c r="E49" s="62"/>
      <c r="F49" s="62"/>
      <c r="G49" s="64">
        <v>158729.13</v>
      </c>
    </row>
    <row r="50" spans="2:7" ht="15">
      <c r="B50" s="66" t="s">
        <v>90</v>
      </c>
      <c r="C50" s="62"/>
      <c r="D50" s="62"/>
      <c r="E50" s="62"/>
      <c r="F50" s="62"/>
      <c r="G50" s="64">
        <v>368900</v>
      </c>
    </row>
    <row r="51" spans="2:7" ht="15">
      <c r="B51" s="67" t="s">
        <v>91</v>
      </c>
      <c r="C51" s="68"/>
      <c r="D51" s="68"/>
      <c r="E51" s="68"/>
      <c r="F51" s="68"/>
      <c r="G51" s="63">
        <f>G48+G49-G50</f>
        <v>-219775.33</v>
      </c>
    </row>
  </sheetData>
  <sheetProtection/>
  <mergeCells count="10">
    <mergeCell ref="D36:E36"/>
    <mergeCell ref="D37:E37"/>
    <mergeCell ref="D38:E38"/>
    <mergeCell ref="D39:E39"/>
    <mergeCell ref="A17:I17"/>
    <mergeCell ref="A18:I18"/>
    <mergeCell ref="A19:I19"/>
    <mergeCell ref="A33:I33"/>
    <mergeCell ref="H34:I34"/>
    <mergeCell ref="D35:E3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2017-04-23T19:47:05Z</dcterms:created>
  <dcterms:modified xsi:type="dcterms:W3CDTF">2017-04-24T18:52:36Z</dcterms:modified>
  <cp:category/>
  <cp:version/>
  <cp:contentType/>
  <cp:contentStatus/>
</cp:coreProperties>
</file>