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 капитальный" sheetId="2" r:id="rId2"/>
  </sheets>
  <definedNames/>
  <calcPr fullCalcOnLoad="1"/>
</workbook>
</file>

<file path=xl/sharedStrings.xml><?xml version="1.0" encoding="utf-8"?>
<sst xmlns="http://schemas.openxmlformats.org/spreadsheetml/2006/main" count="97" uniqueCount="89">
  <si>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</si>
  <si>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</si>
  <si>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</si>
  <si>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Центральная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</si>
  <si>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</si>
  <si>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</si>
  <si>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</si>
  <si>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</si>
  <si>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</si>
  <si>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</si>
  <si>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</si>
  <si>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</si>
  <si>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</si>
  <si>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</si>
  <si>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</si>
  <si>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</si>
  <si>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</si>
  <si>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</si>
  <si>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</si>
  <si>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</si>
  <si>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</si>
  <si>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</si>
  <si>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Н/2008-11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</si>
  <si>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</si>
  <si>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</si>
  <si>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</si>
  <si>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</si>
  <si>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</si>
  <si>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</si>
  <si>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</si>
  <si>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</si>
  <si>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</si>
  <si>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</si>
  <si>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</si>
  <si>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</si>
  <si>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</si>
  <si>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</si>
  <si>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4320.00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</si>
  <si>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</si>
  <si>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</si>
  <si>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</si>
  <si>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</si>
  <si>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</si>
  <si>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</si>
  <si>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</si>
  <si>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</si>
  <si>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</si>
  <si>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</si>
  <si>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</si>
  <si>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</si>
  <si>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</si>
  <si>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</si>
  <si>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</si>
  <si>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</si>
  <si>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</si>
  <si>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t xml:space="preserve">                 с учетом переноса на кап.ремонт</t>
  </si>
  <si>
    <r>
      <t>Затраты по статье "текущий ремонт" составили 141.98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</si>
  <si>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лифтового оборудования - 138.08 т.р.</t>
  </si>
  <si>
    <t>работы по электрике - 0.07 т.р.</t>
  </si>
  <si>
    <t>изготовление и установка решетки на  чердачное окно, окраска - 0.79 т.р.</t>
  </si>
  <si>
    <t>аварийное обслуживание - 2.60 т.р.</t>
  </si>
  <si>
    <t>прочее - 0,44 т.р.</t>
  </si>
  <si>
    <t>2. Отчет  о реализации капитального ремонта жилого фонда ООО "УЮТ-СЕРВИС" за 2016год.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</si>
  <si>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</si>
  <si>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</si>
  <si>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</si>
  <si>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</si>
  <si>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</si>
  <si>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</si>
  <si>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</si>
  <si>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</si>
  <si>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Центральная</t>
  </si>
  <si>
    <t>ремонт кровли</t>
  </si>
  <si>
    <t>д.2</t>
  </si>
  <si>
    <t>ремонт системы ЦО</t>
  </si>
  <si>
    <t>замена стояков ХВС, ГВС. ПС</t>
  </si>
  <si>
    <t xml:space="preserve">Итого </t>
  </si>
  <si>
    <t xml:space="preserve">2. </t>
  </si>
  <si>
    <t>Задолженность населения на 01.01.2016г.</t>
  </si>
  <si>
    <t>Начислено за 2016г.</t>
  </si>
  <si>
    <t>Оплачено населением за 2016г.</t>
  </si>
  <si>
    <t>Доля МО Сертолово</t>
  </si>
  <si>
    <t xml:space="preserve">0,00 </t>
  </si>
  <si>
    <t>Задолженность населения на 01.01.2017г.</t>
  </si>
  <si>
    <t xml:space="preserve">3. </t>
  </si>
  <si>
    <t>Остаток средств на лицевом счете на 01.01.2016г.</t>
  </si>
  <si>
    <t>Начислено населению за 2016г.</t>
  </si>
  <si>
    <t xml:space="preserve">Израсходовано </t>
  </si>
  <si>
    <t>Остаток средств на лицевом счете на 01.01.2017г.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</si>
</sst>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6" xfId="52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 wrapText="1"/>
      <protection/>
    </xf>
    <xf numFmtId="0" fontId="45" fillId="0" borderId="16" xfId="52" applyFont="1" applyBorder="1" applyAlignment="1">
      <alignment horizontal="center" vertical="center"/>
      <protection/>
    </xf>
    <xf numFmtId="2" fontId="45" fillId="0" borderId="16" xfId="52" applyNumberFormat="1" applyFont="1" applyFill="1" applyBorder="1" applyAlignment="1">
      <alignment horizontal="center" vertical="center"/>
      <protection/>
    </xf>
    <xf numFmtId="0" fontId="54" fillId="0" borderId="0" xfId="52" applyFont="1" applyAlignment="1">
      <alignment/>
      <protection/>
    </xf>
    <xf numFmtId="0" fontId="45" fillId="0" borderId="16" xfId="52" applyFont="1" applyBorder="1" applyAlignment="1">
      <alignment horizontal="center"/>
      <protection/>
    </xf>
    <xf numFmtId="4" fontId="37" fillId="0" borderId="0" xfId="52" applyNumberFormat="1" applyFill="1">
      <alignment/>
      <protection/>
    </xf>
    <xf numFmtId="0" fontId="45" fillId="0" borderId="0" xfId="52" applyFont="1" applyAlignment="1">
      <alignment horizontal="center"/>
      <protection/>
    </xf>
    <xf numFmtId="0" fontId="54" fillId="0" borderId="17" xfId="52" applyFont="1" applyBorder="1" applyAlignment="1">
      <alignment horizontal="center"/>
      <protection/>
    </xf>
    <xf numFmtId="0" fontId="54" fillId="0" borderId="0" xfId="52" applyFont="1" applyAlignment="1">
      <alignment horizontal="center"/>
      <protection/>
    </xf>
    <xf numFmtId="0" fontId="54" fillId="0" borderId="18" xfId="52" applyFont="1" applyBorder="1" applyAlignment="1">
      <alignment horizontal="center"/>
      <protection/>
    </xf>
    <xf numFmtId="0" fontId="54" fillId="0" borderId="19" xfId="52" applyFont="1" applyBorder="1" applyAlignment="1">
      <alignment horizontal="center"/>
      <protection/>
    </xf>
    <xf numFmtId="0" fontId="55" fillId="0" borderId="17" xfId="52" applyFont="1" applyBorder="1" applyAlignment="1">
      <alignment horizontal="center" wrapText="1"/>
      <protection/>
    </xf>
    <xf numFmtId="0" fontId="54" fillId="0" borderId="17" xfId="52" applyFont="1" applyBorder="1" applyAlignment="1">
      <alignment horizontal="center" wrapText="1"/>
      <protection/>
    </xf>
    <xf numFmtId="0" fontId="55" fillId="0" borderId="20" xfId="52" applyFont="1" applyBorder="1" applyAlignment="1">
      <alignment horizontal="center"/>
      <protection/>
    </xf>
    <xf numFmtId="0" fontId="54" fillId="0" borderId="0" xfId="52" applyFont="1" applyBorder="1" applyAlignment="1">
      <alignment horizontal="center"/>
      <protection/>
    </xf>
    <xf numFmtId="0" fontId="55" fillId="0" borderId="20" xfId="52" applyFont="1" applyBorder="1" applyAlignment="1">
      <alignment horizontal="center" wrapText="1"/>
      <protection/>
    </xf>
    <xf numFmtId="0" fontId="55" fillId="0" borderId="16" xfId="52" applyFont="1" applyBorder="1" applyAlignment="1">
      <alignment horizontal="center" wrapText="1"/>
      <protection/>
    </xf>
    <xf numFmtId="0" fontId="55" fillId="0" borderId="21" xfId="52" applyFont="1" applyBorder="1" applyAlignment="1">
      <alignment horizontal="center" wrapText="1"/>
      <protection/>
    </xf>
    <xf numFmtId="0" fontId="56" fillId="0" borderId="22" xfId="52" applyFont="1" applyBorder="1" applyAlignment="1">
      <alignment horizontal="center"/>
      <protection/>
    </xf>
    <xf numFmtId="0" fontId="45" fillId="0" borderId="20" xfId="52" applyFont="1" applyBorder="1" applyAlignment="1">
      <alignment horizontal="center"/>
      <protection/>
    </xf>
    <xf numFmtId="4" fontId="56" fillId="0" borderId="16" xfId="52" applyNumberFormat="1" applyFont="1" applyBorder="1" applyAlignment="1">
      <alignment horizontal="center"/>
      <protection/>
    </xf>
    <xf numFmtId="0" fontId="57" fillId="0" borderId="16" xfId="52" applyFont="1" applyBorder="1" applyAlignment="1">
      <alignment horizontal="center"/>
      <protection/>
    </xf>
    <xf numFmtId="4" fontId="57" fillId="0" borderId="16" xfId="52" applyNumberFormat="1" applyFont="1" applyBorder="1" applyAlignment="1">
      <alignment horizontal="center"/>
      <protection/>
    </xf>
    <xf numFmtId="0" fontId="56" fillId="0" borderId="23" xfId="52" applyFont="1" applyBorder="1">
      <alignment/>
      <protection/>
    </xf>
    <xf numFmtId="0" fontId="56" fillId="0" borderId="24" xfId="52" applyFont="1" applyBorder="1">
      <alignment/>
      <protection/>
    </xf>
    <xf numFmtId="4" fontId="57" fillId="0" borderId="16" xfId="52" applyNumberFormat="1" applyFont="1" applyBorder="1" applyAlignment="1">
      <alignment horizontal="right"/>
      <protection/>
    </xf>
    <xf numFmtId="4" fontId="56" fillId="0" borderId="16" xfId="52" applyNumberFormat="1" applyFont="1" applyBorder="1" applyAlignment="1">
      <alignment horizontal="right"/>
      <protection/>
    </xf>
    <xf numFmtId="0" fontId="37" fillId="0" borderId="0" xfId="52" applyBorder="1">
      <alignment/>
      <protection/>
    </xf>
    <xf numFmtId="0" fontId="56" fillId="0" borderId="23" xfId="52" applyFont="1" applyFill="1" applyBorder="1">
      <alignment/>
      <protection/>
    </xf>
    <xf numFmtId="0" fontId="56" fillId="0" borderId="25" xfId="52" applyFont="1" applyBorder="1">
      <alignment/>
      <protection/>
    </xf>
    <xf numFmtId="0" fontId="56" fillId="0" borderId="26" xfId="52" applyFont="1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6" fillId="0" borderId="20" xfId="52" applyFont="1" applyBorder="1" applyAlignment="1">
      <alignment horizontal="left"/>
      <protection/>
    </xf>
    <xf numFmtId="0" fontId="56" fillId="0" borderId="16" xfId="52" applyFont="1" applyBorder="1" applyAlignment="1">
      <alignment horizontal="left"/>
      <protection/>
    </xf>
    <xf numFmtId="0" fontId="37" fillId="0" borderId="0" xfId="52" applyAlignment="1">
      <alignment horizontal="center"/>
      <protection/>
    </xf>
    <xf numFmtId="0" fontId="45" fillId="0" borderId="0" xfId="52" applyFont="1" applyAlignment="1">
      <alignment horizontal="center"/>
      <protection/>
    </xf>
    <xf numFmtId="0" fontId="55" fillId="0" borderId="23" xfId="52" applyFont="1" applyBorder="1" applyAlignment="1">
      <alignment horizontal="center"/>
      <protection/>
    </xf>
    <xf numFmtId="0" fontId="55" fillId="0" borderId="32" xfId="52" applyFont="1" applyBorder="1" applyAlignment="1">
      <alignment horizontal="center"/>
      <protection/>
    </xf>
    <xf numFmtId="0" fontId="55" fillId="0" borderId="25" xfId="52" applyFont="1" applyBorder="1" applyAlignment="1">
      <alignment horizontal="center"/>
      <protection/>
    </xf>
    <xf numFmtId="0" fontId="55" fillId="0" borderId="21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zoomScalePageLayoutView="0" workbookViewId="0" topLeftCell="C31">
      <selection activeCell="F41" sqref="F4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75390625" style="33" customWidth="1"/>
    <col min="4" max="4" width="13.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625" style="33" customWidth="1"/>
    <col min="9" max="9" width="25.00390625" style="33" customWidth="1"/>
    <col min="10" max="10" width="12.253906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77" t="s">
        <v>1</v>
      </c>
      <c r="D23" s="77"/>
      <c r="E23" s="77"/>
      <c r="F23" s="77"/>
      <c r="G23" s="77"/>
      <c r="H23" s="77"/>
      <c r="I23" s="77"/>
    </row>
    <row r="24" spans="3:9" ht="12.75">
      <c r="C24" s="78" t="s">
        <v>2</v>
      </c>
      <c r="D24" s="78"/>
      <c r="E24" s="78"/>
      <c r="F24" s="78"/>
      <c r="G24" s="78"/>
      <c r="H24" s="78"/>
      <c r="I24" s="78"/>
    </row>
    <row r="25" spans="3:9" ht="12.75">
      <c r="C25" s="78" t="s">
        <v>3</v>
      </c>
      <c r="D25" s="78"/>
      <c r="E25" s="78"/>
      <c r="F25" s="78"/>
      <c r="G25" s="78"/>
      <c r="H25" s="78"/>
      <c r="I25" s="78"/>
    </row>
    <row r="26" spans="3:9" ht="6" customHeight="1" thickBot="1">
      <c r="C26" s="79"/>
      <c r="D26" s="79"/>
      <c r="E26" s="79"/>
      <c r="F26" s="79"/>
      <c r="G26" s="79"/>
      <c r="H26" s="79"/>
      <c r="I26" s="79"/>
    </row>
    <row r="27" spans="3:9" ht="48.75" customHeight="1" thickBot="1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>
      <c r="C28" s="80" t="s">
        <v>11</v>
      </c>
      <c r="D28" s="70"/>
      <c r="E28" s="70"/>
      <c r="F28" s="70"/>
      <c r="G28" s="70"/>
      <c r="H28" s="70"/>
      <c r="I28" s="81"/>
    </row>
    <row r="29" spans="3:11" ht="13.5" customHeight="1" thickBot="1">
      <c r="C29" s="12" t="s">
        <v>12</v>
      </c>
      <c r="D29" s="13">
        <v>159750.59999999986</v>
      </c>
      <c r="E29" s="14">
        <f>1576649.85-690.85</f>
        <v>1575959</v>
      </c>
      <c r="F29" s="14">
        <f>30511.68+1505717.54</f>
        <v>1536229.22</v>
      </c>
      <c r="G29" s="14">
        <v>1588528.82</v>
      </c>
      <c r="H29" s="14">
        <f>+D29+E29-F29</f>
        <v>199480.3799999999</v>
      </c>
      <c r="I29" s="82" t="s">
        <v>13</v>
      </c>
      <c r="K29" s="15">
        <f>19209.57+180270.81</f>
        <v>199480.38</v>
      </c>
    </row>
    <row r="30" spans="3:11" ht="13.5" customHeight="1" thickBot="1">
      <c r="C30" s="12" t="s">
        <v>14</v>
      </c>
      <c r="D30" s="13">
        <v>78449.18999999994</v>
      </c>
      <c r="E30" s="16">
        <f>627761.18-8796.31</f>
        <v>618964.87</v>
      </c>
      <c r="F30" s="16">
        <f>583935.8+23781.79</f>
        <v>607717.5900000001</v>
      </c>
      <c r="G30" s="14">
        <v>610856.34</v>
      </c>
      <c r="H30" s="14">
        <f>+D30+E30-F30</f>
        <v>89696.46999999986</v>
      </c>
      <c r="I30" s="83"/>
      <c r="K30" s="2">
        <f>76273.82-4354.5+17777.15</f>
        <v>89696.47</v>
      </c>
    </row>
    <row r="31" spans="3:11" ht="13.5" customHeight="1" thickBot="1">
      <c r="C31" s="12" t="s">
        <v>15</v>
      </c>
      <c r="D31" s="13">
        <v>35952.700000000186</v>
      </c>
      <c r="E31" s="16">
        <f>402887.19-23792.24</f>
        <v>379094.95</v>
      </c>
      <c r="F31" s="16">
        <f>375070.16+72.69+3690.26</f>
        <v>378833.11</v>
      </c>
      <c r="G31" s="14">
        <v>408543.94</v>
      </c>
      <c r="H31" s="14">
        <f>+D31+E31-F31</f>
        <v>36214.54000000021</v>
      </c>
      <c r="I31" s="83"/>
      <c r="K31" s="2">
        <f>38810.84-5911.59+166.75+3148.54</f>
        <v>36214.54</v>
      </c>
    </row>
    <row r="32" spans="3:11" ht="13.5" customHeight="1" thickBot="1">
      <c r="C32" s="12" t="s">
        <v>16</v>
      </c>
      <c r="D32" s="13">
        <v>23406.140000000014</v>
      </c>
      <c r="E32" s="16">
        <f>86536.2-1016.36+141382.07-7640.38</f>
        <v>219261.53</v>
      </c>
      <c r="F32" s="16">
        <f>81082.04+2674.66+132767.39+1291.31</f>
        <v>217815.40000000002</v>
      </c>
      <c r="G32" s="14">
        <v>225493.51</v>
      </c>
      <c r="H32" s="14">
        <f>+D32+E32-F32</f>
        <v>24852.26999999999</v>
      </c>
      <c r="I32" s="83"/>
      <c r="K32" s="2">
        <f>10536.63-591.36+1985.72+13885.07-2059.13+1095.34</f>
        <v>24852.269999999997</v>
      </c>
    </row>
    <row r="33" spans="3:11" ht="13.5" customHeight="1" thickBot="1">
      <c r="C33" s="12" t="s">
        <v>17</v>
      </c>
      <c r="D33" s="13">
        <v>1103.7200000000012</v>
      </c>
      <c r="E33" s="16">
        <f>11655.63+10795.28</f>
        <v>22450.91</v>
      </c>
      <c r="F33" s="16">
        <f>3.39+4.72+10835.93+10565.94+310.73</f>
        <v>21720.710000000003</v>
      </c>
      <c r="G33" s="14">
        <f>7044.92+24401.61+10000</f>
        <v>41446.53</v>
      </c>
      <c r="H33" s="14">
        <f>+D33+E33-F33</f>
        <v>1833.9199999999983</v>
      </c>
      <c r="I33" s="84"/>
      <c r="K33" s="2">
        <f>7.84+10.81+1180.11+386.67-0.36+248.85</f>
        <v>1833.92</v>
      </c>
    </row>
    <row r="34" spans="3:9" ht="13.5" customHeight="1" thickBot="1">
      <c r="C34" s="12" t="s">
        <v>18</v>
      </c>
      <c r="D34" s="17">
        <f>SUM(D29:D33)</f>
        <v>298662.35</v>
      </c>
      <c r="E34" s="17">
        <f>SUM(E29:E33)</f>
        <v>2815731.2600000002</v>
      </c>
      <c r="F34" s="17">
        <f>SUM(F29:F33)</f>
        <v>2762316.03</v>
      </c>
      <c r="G34" s="17">
        <f>SUM(G29:G33)</f>
        <v>2874869.14</v>
      </c>
      <c r="H34" s="17">
        <f>SUM(H29:H33)</f>
        <v>352077.5799999999</v>
      </c>
      <c r="I34" s="18"/>
    </row>
    <row r="35" spans="3:9" ht="13.5" customHeight="1" thickBot="1">
      <c r="C35" s="70" t="s">
        <v>19</v>
      </c>
      <c r="D35" s="70"/>
      <c r="E35" s="70"/>
      <c r="F35" s="70"/>
      <c r="G35" s="70"/>
      <c r="H35" s="70"/>
      <c r="I35" s="70"/>
    </row>
    <row r="36" spans="3:9" ht="50.25" customHeight="1" thickBot="1">
      <c r="C36" s="19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20" t="s">
        <v>20</v>
      </c>
    </row>
    <row r="37" spans="3:11" ht="32.25" customHeight="1" thickBot="1">
      <c r="C37" s="9" t="s">
        <v>21</v>
      </c>
      <c r="D37" s="21">
        <v>104622.82999999984</v>
      </c>
      <c r="E37" s="22">
        <f>1261131.54+8205.11+29566.48+1539.64+17415.89</f>
        <v>1317858.66</v>
      </c>
      <c r="F37" s="22">
        <f>1250205.59+7331.12+26332.35+1391.25+15536.7+3.62+42.44</f>
        <v>1300843.0700000003</v>
      </c>
      <c r="G37" s="22">
        <f>+E37</f>
        <v>1317858.66</v>
      </c>
      <c r="H37" s="22">
        <f>+D37+E37-F37</f>
        <v>121638.41999999946</v>
      </c>
      <c r="I37" s="71" t="s">
        <v>22</v>
      </c>
      <c r="J37" s="23">
        <f>104454.44+26.46-0.23+96.52-0.84+3.7-0.04+43.32-0.5-D37</f>
        <v>1.8917489796876907E-10</v>
      </c>
      <c r="K37" s="15">
        <f>115380.39+901.32-1.1+3333.34-3.53+148.77-0.38+1883.3-4.11+0.08-0.04+0.88-0.5-H37</f>
        <v>5.529727786779404E-10</v>
      </c>
    </row>
    <row r="38" spans="3:10" ht="14.25" customHeight="1" thickBot="1">
      <c r="C38" s="12" t="s">
        <v>23</v>
      </c>
      <c r="D38" s="13">
        <v>20324.98999999999</v>
      </c>
      <c r="E38" s="14">
        <f>250519.64-58808.6-237101.4</f>
        <v>-45390.359999999986</v>
      </c>
      <c r="F38" s="14">
        <f>247886.62-58808.6-237101.4</f>
        <v>-48023.380000000005</v>
      </c>
      <c r="G38" s="22">
        <v>141979.66</v>
      </c>
      <c r="H38" s="22">
        <f aca="true" t="shared" si="0" ref="H38:H45">+D38+E38-F38</f>
        <v>22958.01000000001</v>
      </c>
      <c r="I38" s="72"/>
      <c r="J38" s="23"/>
    </row>
    <row r="39" spans="3:9" ht="13.5" customHeight="1" thickBot="1">
      <c r="C39" s="19" t="s">
        <v>24</v>
      </c>
      <c r="D39" s="24">
        <v>15260.76000000001</v>
      </c>
      <c r="E39" s="14">
        <f>164277.71+58808.6+237101.4</f>
        <v>460187.70999999996</v>
      </c>
      <c r="F39" s="14">
        <f>161449.05+58808.6+237101.4</f>
        <v>457359.05</v>
      </c>
      <c r="G39" s="22">
        <v>437700</v>
      </c>
      <c r="H39" s="22">
        <f t="shared" si="0"/>
        <v>18089.419999999984</v>
      </c>
      <c r="I39" s="25"/>
    </row>
    <row r="40" spans="3:9" ht="12.75" customHeight="1" thickBot="1">
      <c r="C40" s="12" t="s">
        <v>25</v>
      </c>
      <c r="D40" s="13">
        <v>14214.159999999945</v>
      </c>
      <c r="E40" s="14">
        <v>158992.85</v>
      </c>
      <c r="F40" s="14">
        <v>159662.32</v>
      </c>
      <c r="G40" s="22">
        <f>+E40</f>
        <v>158992.85</v>
      </c>
      <c r="H40" s="22">
        <f t="shared" si="0"/>
        <v>13544.689999999944</v>
      </c>
      <c r="I40" s="25" t="s">
        <v>26</v>
      </c>
    </row>
    <row r="41" spans="3:11" ht="28.5" customHeight="1" thickBot="1">
      <c r="C41" s="12" t="s">
        <v>27</v>
      </c>
      <c r="D41" s="13">
        <v>22173.070000000036</v>
      </c>
      <c r="E41" s="14">
        <f>63836.67+208748.2</f>
        <v>272584.87</v>
      </c>
      <c r="F41" s="14">
        <f>187925.34+80146.76+1665.41</f>
        <v>269737.50999999995</v>
      </c>
      <c r="G41" s="22">
        <v>236151.59</v>
      </c>
      <c r="H41" s="22">
        <f t="shared" si="0"/>
        <v>25020.43000000011</v>
      </c>
      <c r="I41" s="26" t="s">
        <v>28</v>
      </c>
      <c r="J41" s="2">
        <f>3798.34+18374.73</f>
        <v>22173.07</v>
      </c>
      <c r="K41" s="2">
        <f>20822.86+2064.64+2132.93</f>
        <v>25020.43</v>
      </c>
    </row>
    <row r="42" spans="3:9" ht="25.5" customHeight="1" thickBot="1">
      <c r="C42" s="12" t="s">
        <v>29</v>
      </c>
      <c r="D42" s="13">
        <v>1174.7700000000004</v>
      </c>
      <c r="E42" s="16">
        <v>14470.7</v>
      </c>
      <c r="F42" s="16">
        <v>14315.65</v>
      </c>
      <c r="G42" s="22">
        <f>+E42</f>
        <v>14470.7</v>
      </c>
      <c r="H42" s="22">
        <f t="shared" si="0"/>
        <v>1329.8200000000015</v>
      </c>
      <c r="I42" s="26" t="s">
        <v>30</v>
      </c>
    </row>
    <row r="43" spans="3:9" ht="13.5" customHeight="1" thickBot="1">
      <c r="C43" s="19" t="s">
        <v>31</v>
      </c>
      <c r="D43" s="13">
        <v>14804.469999999972</v>
      </c>
      <c r="E43" s="16">
        <v>152179.11</v>
      </c>
      <c r="F43" s="16">
        <v>149372.17</v>
      </c>
      <c r="G43" s="22">
        <f>+E43</f>
        <v>152179.11</v>
      </c>
      <c r="H43" s="22">
        <f t="shared" si="0"/>
        <v>17611.409999999945</v>
      </c>
      <c r="I43" s="25"/>
    </row>
    <row r="44" spans="3:11" ht="13.5" customHeight="1" thickBot="1">
      <c r="C44" s="19" t="s">
        <v>32</v>
      </c>
      <c r="D44" s="13">
        <v>2056.54</v>
      </c>
      <c r="E44" s="16">
        <f>20015.52+2083.27+11734.6+1033.98</f>
        <v>34867.37</v>
      </c>
      <c r="F44" s="16">
        <f>9367.66+15125.68</f>
        <v>24493.34</v>
      </c>
      <c r="G44" s="22">
        <f>+E44</f>
        <v>34867.37</v>
      </c>
      <c r="H44" s="22">
        <f t="shared" si="0"/>
        <v>12430.570000000003</v>
      </c>
      <c r="I44" s="25"/>
      <c r="J44" s="2">
        <f>1334.53+722.01</f>
        <v>2056.54</v>
      </c>
      <c r="K44" s="2">
        <f>4122.93+8307.64</f>
        <v>12430.57</v>
      </c>
    </row>
    <row r="45" spans="3:9" ht="13.5" customHeight="1" thickBot="1">
      <c r="C45" s="12" t="s">
        <v>33</v>
      </c>
      <c r="D45" s="13">
        <v>3025.9400000000023</v>
      </c>
      <c r="E45" s="16">
        <v>37246.71</v>
      </c>
      <c r="F45" s="16">
        <v>36853.29</v>
      </c>
      <c r="G45" s="22">
        <f>+E45</f>
        <v>37246.71</v>
      </c>
      <c r="H45" s="22">
        <f t="shared" si="0"/>
        <v>3419.3600000000006</v>
      </c>
      <c r="I45" s="26" t="s">
        <v>34</v>
      </c>
    </row>
    <row r="46" spans="3:9" s="28" customFormat="1" ht="13.5" customHeight="1" thickBot="1">
      <c r="C46" s="12" t="s">
        <v>18</v>
      </c>
      <c r="D46" s="17">
        <f>SUM(D37:D45)</f>
        <v>197657.5299999998</v>
      </c>
      <c r="E46" s="17">
        <f>SUM(E37:E45)</f>
        <v>2402997.62</v>
      </c>
      <c r="F46" s="17">
        <f>SUM(F37:F45)</f>
        <v>2364613.02</v>
      </c>
      <c r="G46" s="17">
        <f>SUM(G37:G45)</f>
        <v>2531446.65</v>
      </c>
      <c r="H46" s="17">
        <f>SUM(H37:H45)</f>
        <v>236042.12999999948</v>
      </c>
      <c r="I46" s="27"/>
    </row>
    <row r="47" spans="3:9" ht="13.5" customHeight="1" thickBot="1">
      <c r="C47" s="73" t="s">
        <v>35</v>
      </c>
      <c r="D47" s="73"/>
      <c r="E47" s="73"/>
      <c r="F47" s="73"/>
      <c r="G47" s="73"/>
      <c r="H47" s="73"/>
      <c r="I47" s="73"/>
    </row>
    <row r="48" spans="3:9" ht="43.5" customHeight="1" thickBot="1">
      <c r="C48" s="29" t="s">
        <v>36</v>
      </c>
      <c r="D48" s="74" t="s">
        <v>37</v>
      </c>
      <c r="E48" s="75"/>
      <c r="F48" s="75"/>
      <c r="G48" s="75"/>
      <c r="H48" s="76"/>
      <c r="I48" s="30" t="s">
        <v>38</v>
      </c>
    </row>
    <row r="49" spans="3:8" ht="19.5" customHeight="1">
      <c r="C49" s="31" t="s">
        <v>39</v>
      </c>
      <c r="D49" s="31"/>
      <c r="E49" s="31"/>
      <c r="F49" s="31"/>
      <c r="G49" s="31"/>
      <c r="H49" s="32">
        <f>+H34+H46</f>
        <v>588119.7099999994</v>
      </c>
    </row>
    <row r="50" spans="3:4" ht="15" hidden="1">
      <c r="C50" s="34" t="s">
        <v>40</v>
      </c>
      <c r="D50" s="34"/>
    </row>
    <row r="51" ht="12.75" customHeight="1">
      <c r="C51" s="35" t="s">
        <v>41</v>
      </c>
    </row>
    <row r="52" spans="3:8" ht="12.75">
      <c r="C52" s="2"/>
      <c r="D52" s="2"/>
      <c r="E52" s="23"/>
      <c r="F52" s="23"/>
      <c r="G52" s="2"/>
      <c r="H52" s="2"/>
    </row>
    <row r="53" spans="3:8" ht="15" customHeight="1">
      <c r="C53" s="34"/>
      <c r="D53" s="36"/>
      <c r="E53" s="36"/>
      <c r="F53" s="36"/>
      <c r="G53" s="36"/>
      <c r="H53" s="36"/>
    </row>
  </sheetData>
  <sheetProtection/>
  <mergeCells count="10">
    <mergeCell ref="C35:I35"/>
    <mergeCell ref="I37:I38"/>
    <mergeCell ref="C47:I47"/>
    <mergeCell ref="D48:H48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43"/>
  <sheetViews>
    <sheetView tabSelected="1" zoomScaleSheetLayoutView="120" zoomScalePageLayoutView="0" workbookViewId="0" topLeftCell="A20">
      <selection activeCell="L24" sqref="L24"/>
    </sheetView>
  </sheetViews>
  <sheetFormatPr defaultColWidth="9.00390625" defaultRowHeight="12.75"/>
  <cols>
    <col min="1" max="1" width="3.75390625" style="37" customWidth="1"/>
    <col min="2" max="2" width="13.2539062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5.625" style="37" customWidth="1"/>
    <col min="8" max="8" width="15.125" style="37" customWidth="1"/>
    <col min="9" max="9" width="14.75390625" style="37" customWidth="1"/>
    <col min="10" max="16384" width="9.125" style="37" customWidth="1"/>
  </cols>
  <sheetData>
    <row r="13" spans="1:9" ht="15">
      <c r="A13" s="87" t="s">
        <v>42</v>
      </c>
      <c r="B13" s="87"/>
      <c r="C13" s="87"/>
      <c r="D13" s="87"/>
      <c r="E13" s="87"/>
      <c r="F13" s="87"/>
      <c r="G13" s="87"/>
      <c r="H13" s="87"/>
      <c r="I13" s="87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15">
      <c r="A15" s="87" t="s">
        <v>44</v>
      </c>
      <c r="B15" s="87"/>
      <c r="C15" s="87"/>
      <c r="D15" s="87"/>
      <c r="E15" s="87"/>
      <c r="F15" s="87"/>
      <c r="G15" s="87"/>
      <c r="H15" s="87"/>
      <c r="I15" s="87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230.3998</v>
      </c>
      <c r="C17" s="41"/>
      <c r="D17" s="41">
        <v>250.51964</v>
      </c>
      <c r="E17" s="41">
        <v>247.88662</v>
      </c>
      <c r="F17" s="41">
        <v>13.07</v>
      </c>
      <c r="G17" s="41">
        <v>141.97966</v>
      </c>
      <c r="H17" s="41">
        <v>22.95801</v>
      </c>
      <c r="I17" s="41">
        <f>B17+D17+F17-G17-295.91</f>
        <v>56.09977999999995</v>
      </c>
    </row>
    <row r="18" spans="7:9" ht="15">
      <c r="G18" s="42" t="s">
        <v>55</v>
      </c>
      <c r="H18" s="42"/>
      <c r="I18" s="43">
        <v>295.91</v>
      </c>
    </row>
    <row r="19" ht="15">
      <c r="A19" s="37" t="s">
        <v>56</v>
      </c>
    </row>
    <row r="20" ht="15">
      <c r="A20" s="37" t="s">
        <v>57</v>
      </c>
    </row>
    <row r="21" spans="1:8" ht="15">
      <c r="A21" s="37" t="s">
        <v>58</v>
      </c>
      <c r="H21" s="44"/>
    </row>
    <row r="22" ht="15">
      <c r="A22" s="37" t="s">
        <v>59</v>
      </c>
    </row>
    <row r="23" ht="15">
      <c r="A23" s="37" t="s">
        <v>60</v>
      </c>
    </row>
    <row r="24" ht="15">
      <c r="A24" s="37" t="s">
        <v>61</v>
      </c>
    </row>
    <row r="26" spans="1:9" ht="15">
      <c r="A26" s="88" t="s">
        <v>62</v>
      </c>
      <c r="B26" s="88"/>
      <c r="C26" s="88"/>
      <c r="D26" s="88"/>
      <c r="E26" s="88"/>
      <c r="F26" s="88"/>
      <c r="G26" s="88"/>
      <c r="H26" s="88"/>
      <c r="I26" s="88"/>
    </row>
    <row r="27" spans="1:9" ht="12" customHeight="1">
      <c r="A27" s="45" t="s">
        <v>54</v>
      </c>
      <c r="B27" s="46"/>
      <c r="C27" s="47"/>
      <c r="D27" s="48"/>
      <c r="E27" s="49"/>
      <c r="F27" s="50" t="s">
        <v>63</v>
      </c>
      <c r="G27" s="51"/>
      <c r="H27" s="89" t="s">
        <v>64</v>
      </c>
      <c r="I27" s="90"/>
    </row>
    <row r="28" spans="1:9" ht="24.75">
      <c r="A28" s="45"/>
      <c r="B28" s="52" t="s">
        <v>65</v>
      </c>
      <c r="C28" s="53"/>
      <c r="D28" s="91" t="s">
        <v>66</v>
      </c>
      <c r="E28" s="92"/>
      <c r="F28" s="54" t="s">
        <v>67</v>
      </c>
      <c r="G28" s="54" t="s">
        <v>68</v>
      </c>
      <c r="H28" s="55" t="s">
        <v>69</v>
      </c>
      <c r="I28" s="56" t="s">
        <v>70</v>
      </c>
    </row>
    <row r="29" spans="1:9" ht="15">
      <c r="A29" s="45"/>
      <c r="B29" s="57" t="s">
        <v>71</v>
      </c>
      <c r="C29" s="45"/>
      <c r="D29" s="85" t="s">
        <v>72</v>
      </c>
      <c r="E29" s="85"/>
      <c r="F29" s="58"/>
      <c r="G29" s="59">
        <f>H29+I29</f>
        <v>1116</v>
      </c>
      <c r="H29" s="59">
        <v>111.6</v>
      </c>
      <c r="I29" s="59">
        <v>1004.4</v>
      </c>
    </row>
    <row r="30" spans="1:9" ht="15">
      <c r="A30" s="45"/>
      <c r="B30" s="57" t="s">
        <v>73</v>
      </c>
      <c r="C30" s="45"/>
      <c r="D30" s="86" t="s">
        <v>74</v>
      </c>
      <c r="E30" s="86"/>
      <c r="F30" s="43"/>
      <c r="G30" s="59">
        <f>H30+I30</f>
        <v>886.1</v>
      </c>
      <c r="H30" s="59">
        <v>88.6</v>
      </c>
      <c r="I30" s="59">
        <v>797.5</v>
      </c>
    </row>
    <row r="31" spans="1:9" ht="15">
      <c r="A31" s="45"/>
      <c r="B31" s="58"/>
      <c r="C31" s="45"/>
      <c r="D31" s="86" t="s">
        <v>75</v>
      </c>
      <c r="E31" s="86"/>
      <c r="F31" s="43"/>
      <c r="G31" s="59">
        <f>H31+I31</f>
        <v>2371</v>
      </c>
      <c r="H31" s="59">
        <v>237.5</v>
      </c>
      <c r="I31" s="59">
        <v>2133.5</v>
      </c>
    </row>
    <row r="32" spans="1:9" ht="15">
      <c r="A32" s="45"/>
      <c r="B32" s="60" t="s">
        <v>76</v>
      </c>
      <c r="C32" s="45"/>
      <c r="D32" s="45"/>
      <c r="E32" s="45"/>
      <c r="F32" s="45"/>
      <c r="G32" s="61">
        <f>SUM(G29:G31)</f>
        <v>4373.1</v>
      </c>
      <c r="H32" s="61">
        <f>SUM(H29:H31)</f>
        <v>437.7</v>
      </c>
      <c r="I32" s="61">
        <f>SUM(I29:I31)</f>
        <v>3935.4</v>
      </c>
    </row>
    <row r="34" spans="1:6" ht="15">
      <c r="A34" s="37" t="s">
        <v>77</v>
      </c>
      <c r="B34" s="62" t="s">
        <v>78</v>
      </c>
      <c r="C34" s="63"/>
      <c r="D34" s="63"/>
      <c r="E34" s="63"/>
      <c r="F34" s="64">
        <v>15260.76</v>
      </c>
    </row>
    <row r="35" spans="2:6" ht="15">
      <c r="B35" s="62" t="s">
        <v>79</v>
      </c>
      <c r="C35" s="63"/>
      <c r="D35" s="63"/>
      <c r="E35" s="63"/>
      <c r="F35" s="65">
        <v>460187.71</v>
      </c>
    </row>
    <row r="36" spans="2:6" ht="15">
      <c r="B36" s="62" t="s">
        <v>80</v>
      </c>
      <c r="C36" s="63"/>
      <c r="D36" s="63"/>
      <c r="E36" s="63"/>
      <c r="F36" s="65">
        <v>457359.05</v>
      </c>
    </row>
    <row r="37" spans="2:6" ht="15">
      <c r="B37" s="62" t="s">
        <v>81</v>
      </c>
      <c r="C37" s="63"/>
      <c r="D37" s="63"/>
      <c r="E37" s="63"/>
      <c r="F37" s="65" t="s">
        <v>82</v>
      </c>
    </row>
    <row r="38" spans="2:6" ht="15">
      <c r="B38" s="62" t="s">
        <v>83</v>
      </c>
      <c r="C38" s="63"/>
      <c r="D38" s="63"/>
      <c r="E38" s="63"/>
      <c r="F38" s="64">
        <f>F34+F35-F36</f>
        <v>18089.420000000042</v>
      </c>
    </row>
    <row r="39" spans="2:7" ht="15">
      <c r="B39" s="66"/>
      <c r="C39" s="66"/>
      <c r="D39" s="66"/>
      <c r="E39" s="66"/>
      <c r="F39" s="66"/>
      <c r="G39" s="66"/>
    </row>
    <row r="40" spans="1:7" ht="15">
      <c r="A40" s="37" t="s">
        <v>84</v>
      </c>
      <c r="B40" s="62" t="s">
        <v>85</v>
      </c>
      <c r="C40" s="63"/>
      <c r="D40" s="63"/>
      <c r="E40" s="63"/>
      <c r="F40" s="63"/>
      <c r="G40" s="64">
        <v>-93586.81</v>
      </c>
    </row>
    <row r="41" spans="2:7" ht="15">
      <c r="B41" s="62" t="s">
        <v>86</v>
      </c>
      <c r="C41" s="63"/>
      <c r="D41" s="63"/>
      <c r="E41" s="63"/>
      <c r="F41" s="63"/>
      <c r="G41" s="65">
        <v>460187.71</v>
      </c>
    </row>
    <row r="42" spans="2:7" ht="15">
      <c r="B42" s="67" t="s">
        <v>87</v>
      </c>
      <c r="C42" s="63"/>
      <c r="D42" s="63"/>
      <c r="E42" s="63"/>
      <c r="F42" s="63"/>
      <c r="G42" s="65">
        <v>437700</v>
      </c>
    </row>
    <row r="43" spans="2:7" ht="15">
      <c r="B43" s="68" t="s">
        <v>88</v>
      </c>
      <c r="C43" s="69"/>
      <c r="D43" s="69"/>
      <c r="E43" s="69"/>
      <c r="F43" s="69"/>
      <c r="G43" s="64">
        <f>G40+G41-G42</f>
        <v>-71099.09999999998</v>
      </c>
    </row>
  </sheetData>
  <sheetProtection/>
  <mergeCells count="9">
    <mergeCell ref="D29:E29"/>
    <mergeCell ref="D30:E30"/>
    <mergeCell ref="D31:E31"/>
    <mergeCell ref="A13:I13"/>
    <mergeCell ref="A14:I14"/>
    <mergeCell ref="A15:I15"/>
    <mergeCell ref="A26:I26"/>
    <mergeCell ref="H27:I27"/>
    <mergeCell ref="D28:E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2017-04-23T20:04:43Z</dcterms:created>
  <dcterms:modified xsi:type="dcterms:W3CDTF">2017-04-24T19:00:36Z</dcterms:modified>
  <cp:category/>
  <cp:version/>
  <cp:contentType/>
  <cp:contentStatus/>
</cp:coreProperties>
</file>