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ветеранов4" sheetId="1" r:id="rId1"/>
    <sheet name="Ветеранов 4" sheetId="2" r:id="rId2"/>
    <sheet name="Ветеранов 4 (2)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H7" i="3"/>
  <c r="I7" i="3" s="1"/>
  <c r="I9" i="3" s="1"/>
  <c r="G9" i="3"/>
  <c r="G15" i="3"/>
  <c r="H18" i="3"/>
  <c r="H9" i="3" l="1"/>
  <c r="H20" i="3" s="1"/>
  <c r="H21" i="3" s="1"/>
  <c r="I17" i="2" l="1"/>
  <c r="H26" i="1" l="1"/>
  <c r="K26" i="1"/>
  <c r="H27" i="1"/>
  <c r="J27" i="1"/>
  <c r="K27" i="1"/>
  <c r="H28" i="1"/>
  <c r="K28" i="1"/>
  <c r="H29" i="1"/>
  <c r="K29" i="1"/>
  <c r="E30" i="1"/>
  <c r="F30" i="1"/>
  <c r="G30" i="1"/>
  <c r="H30" i="1"/>
  <c r="K30" i="1"/>
  <c r="D31" i="1"/>
  <c r="E31" i="1"/>
  <c r="F31" i="1"/>
  <c r="G31" i="1"/>
  <c r="H31" i="1"/>
  <c r="F34" i="1"/>
  <c r="G34" i="1"/>
  <c r="G44" i="1" s="1"/>
  <c r="G52" i="1" s="1"/>
  <c r="H34" i="1"/>
  <c r="J34" i="1"/>
  <c r="K34" i="1"/>
  <c r="F35" i="1"/>
  <c r="H35" i="1" s="1"/>
  <c r="G36" i="1"/>
  <c r="H36" i="1"/>
  <c r="H37" i="1"/>
  <c r="F38" i="1"/>
  <c r="H38" i="1"/>
  <c r="J38" i="1"/>
  <c r="K38" i="1"/>
  <c r="F39" i="1"/>
  <c r="H39" i="1"/>
  <c r="F40" i="1"/>
  <c r="H40" i="1"/>
  <c r="F41" i="1"/>
  <c r="G41" i="1"/>
  <c r="H41" i="1"/>
  <c r="J41" i="1"/>
  <c r="K41" i="1"/>
  <c r="E42" i="1"/>
  <c r="H42" i="1" s="1"/>
  <c r="F42" i="1"/>
  <c r="G42" i="1"/>
  <c r="F43" i="1"/>
  <c r="H43" i="1" s="1"/>
  <c r="D44" i="1"/>
  <c r="F44" i="1"/>
  <c r="H51" i="1"/>
  <c r="H44" i="1" l="1"/>
  <c r="H47" i="1"/>
  <c r="E44" i="1"/>
  <c r="E52" i="1" s="1"/>
</calcChain>
</file>

<file path=xl/sharedStrings.xml><?xml version="1.0" encoding="utf-8"?>
<sst xmlns="http://schemas.openxmlformats.org/spreadsheetml/2006/main" count="94" uniqueCount="86">
  <si>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</si>
  <si>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</si>
  <si>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01.01.2021г.</t>
  </si>
  <si>
    <t>ООО "ГМК", ООО "Икс-Трим", АО "Эр-телеком холдинг", ООО "СкайНэт"</t>
  </si>
  <si>
    <t xml:space="preserve">Поступило за размещение интернет оборудования 21915,00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</si>
  <si>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</si>
  <si>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</si>
  <si>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</si>
  <si>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</si>
  <si>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</si>
  <si>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ООО "ПСК"</t>
  </si>
  <si>
    <t xml:space="preserve">электр под </t>
  </si>
  <si>
    <t>Повышающий коээфициент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</si>
  <si>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</si>
  <si>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</si>
  <si>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</si>
  <si>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</si>
  <si>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</si>
  <si>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</si>
  <si>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</si>
  <si>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</si>
  <si>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</si>
  <si>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Н/2011-112 от 01.12.2011г.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</si>
  <si>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</si>
  <si>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</si>
  <si>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</si>
  <si>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</si>
  <si>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</si>
  <si>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</si>
  <si>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</si>
  <si>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</si>
  <si>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</si>
  <si>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</si>
  <si>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</si>
  <si>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</si>
  <si>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</si>
  <si>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"ТСК",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</si>
  <si>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</si>
  <si>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</si>
  <si>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</si>
  <si>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№4  по ул. Ветеранов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</si>
  <si>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</si>
  <si>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</si>
  <si>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</si>
  <si>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бетонных площадок - 54.67т.р.</t>
  </si>
  <si>
    <t>Расходный материал - 0.36 т.р.</t>
  </si>
  <si>
    <t>Аварийное обслуживание - 2.34 т.р.</t>
  </si>
  <si>
    <t>Производство работ по неисправности в системе освещения общедомовых помещений - 1.62 т.р.</t>
  </si>
  <si>
    <t>замена замков в помещениях общего пользования - 1.13 т.р.</t>
  </si>
  <si>
    <t>Замена разбитых стекол окон, дверей, ремонт поручней, стен в подъезде,</t>
  </si>
  <si>
    <t>Ремонт систем ГВС, ХВс, ЦО - 0.80т.р.</t>
  </si>
  <si>
    <r>
      <t>Затраты по статье "текущий ремонт" составили 60</t>
    </r>
    <r>
      <rPr>
        <b/>
        <sz val="11"/>
        <color indexed="8"/>
        <rFont val="Calibri"/>
        <family val="2"/>
        <charset val="204"/>
      </rPr>
      <t>,92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</si>
  <si>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</si>
  <si>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</si>
  <si>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</si>
  <si>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</si>
  <si>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</si>
  <si>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</si>
  <si>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</si>
  <si>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</si>
  <si>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</si>
  <si>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</si>
  <si>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4 по ул. Ветеранов с 01.01.2020г. по 31.12.2020г.</t>
  </si>
  <si>
    <t>по выполнению плана текущего ремонта жилого дома</t>
  </si>
  <si>
    <t>ОТЧЕТ</t>
  </si>
  <si>
    <t>Остаток средств на лицевом счете на 01.01.2021г.</t>
  </si>
  <si>
    <t xml:space="preserve">Израсходовано </t>
  </si>
  <si>
    <t>Перенесено со ст. "повыш.коэфф."</t>
  </si>
  <si>
    <t>начислено населению за 2020г.</t>
  </si>
  <si>
    <t>Остаток средств на лицевом счете на 01.01.2020г.</t>
  </si>
  <si>
    <t>Задолженность населения на 01.01.2020г.</t>
  </si>
  <si>
    <t>Оплачено населением за 2020г.</t>
  </si>
  <si>
    <t>Начислено за 2020г.</t>
  </si>
  <si>
    <t xml:space="preserve">Итого </t>
  </si>
  <si>
    <t>д.4</t>
  </si>
  <si>
    <t>Замена оконных блоков</t>
  </si>
  <si>
    <t>Ветеранов</t>
  </si>
  <si>
    <t>бюджетное финансирование</t>
  </si>
  <si>
    <t>средства        населения</t>
  </si>
  <si>
    <t>сумма                             тыс. руб.</t>
  </si>
  <si>
    <t>выполненных  работ</t>
  </si>
  <si>
    <t>наименование работ</t>
  </si>
  <si>
    <t>адрес</t>
  </si>
  <si>
    <t>в том числе</t>
  </si>
  <si>
    <t xml:space="preserve">объем                    </t>
  </si>
  <si>
    <t xml:space="preserve"> Отчет  о реализации денежных средств по программе энергосбережения жилого фонда ООО "УЮТ-СЕРВИС" за 2020 год Ветеранов,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</si>
</sst>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0" fontId="0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3" fillId="0" borderId="0" xfId="0" applyFont="1" applyFill="1"/>
    <xf numFmtId="2" fontId="3" fillId="0" borderId="0" xfId="0" applyNumberFormat="1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4" fontId="12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4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8" fillId="0" borderId="0" xfId="0" applyFont="1" applyFill="1" applyBorder="1"/>
    <xf numFmtId="0" fontId="8" fillId="0" borderId="0" xfId="0" applyFont="1" applyFill="1" applyAlignment="1">
      <alignment horizontal="center"/>
    </xf>
    <xf numFmtId="0" fontId="18" fillId="0" borderId="6" xfId="0" applyFont="1" applyFill="1" applyBorder="1"/>
    <xf numFmtId="0" fontId="18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8" fillId="0" borderId="0" xfId="0" applyFont="1" applyFill="1"/>
    <xf numFmtId="0" fontId="2" fillId="0" borderId="0" xfId="1"/>
    <xf numFmtId="0" fontId="2" fillId="0" borderId="0" xfId="1" applyFill="1" applyBorder="1"/>
    <xf numFmtId="0" fontId="20" fillId="2" borderId="0" xfId="1" applyFont="1" applyFill="1"/>
    <xf numFmtId="0" fontId="20" fillId="2" borderId="0" xfId="1" applyFont="1" applyFill="1" applyBorder="1"/>
    <xf numFmtId="4" fontId="20" fillId="2" borderId="0" xfId="1" applyNumberFormat="1" applyFont="1" applyFill="1"/>
    <xf numFmtId="2" fontId="19" fillId="0" borderId="1" xfId="1" applyNumberFormat="1" applyFont="1" applyFill="1" applyBorder="1" applyAlignment="1">
      <alignment horizontal="center" vertical="center"/>
    </xf>
    <xf numFmtId="2" fontId="19" fillId="3" borderId="1" xfId="1" applyNumberFormat="1" applyFont="1" applyFill="1" applyBorder="1" applyAlignment="1">
      <alignment horizontal="center" vertical="center"/>
    </xf>
    <xf numFmtId="2" fontId="19" fillId="4" borderId="1" xfId="1" applyNumberFormat="1" applyFont="1" applyFill="1" applyBorder="1" applyAlignment="1">
      <alignment horizontal="center" vertical="center"/>
    </xf>
    <xf numFmtId="2" fontId="19" fillId="2" borderId="1" xfId="1" applyNumberFormat="1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2" fillId="0" borderId="0" xfId="1" applyAlignment="1">
      <alignment horizontal="center"/>
    </xf>
    <xf numFmtId="0" fontId="1" fillId="0" borderId="0" xfId="2"/>
    <xf numFmtId="0" fontId="1" fillId="0" borderId="0" xfId="2" applyFill="1"/>
    <xf numFmtId="4" fontId="19" fillId="0" borderId="1" xfId="2" applyNumberFormat="1" applyFont="1" applyFill="1" applyBorder="1"/>
    <xf numFmtId="0" fontId="1" fillId="0" borderId="13" xfId="2" applyFill="1" applyBorder="1"/>
    <xf numFmtId="0" fontId="1" fillId="0" borderId="14" xfId="2" applyFill="1" applyBorder="1"/>
    <xf numFmtId="4" fontId="1" fillId="0" borderId="1" xfId="2" applyNumberFormat="1" applyFill="1" applyBorder="1" applyAlignment="1">
      <alignment horizontal="right"/>
    </xf>
    <xf numFmtId="0" fontId="1" fillId="0" borderId="15" xfId="2" applyFill="1" applyBorder="1"/>
    <xf numFmtId="0" fontId="1" fillId="0" borderId="16" xfId="2" applyFill="1" applyBorder="1"/>
    <xf numFmtId="2" fontId="1" fillId="0" borderId="1" xfId="2" applyNumberFormat="1" applyFill="1" applyBorder="1"/>
    <xf numFmtId="4" fontId="1" fillId="0" borderId="1" xfId="2" applyNumberFormat="1" applyFill="1" applyBorder="1"/>
    <xf numFmtId="0" fontId="1" fillId="0" borderId="0" xfId="2" applyFill="1" applyBorder="1"/>
    <xf numFmtId="0" fontId="19" fillId="0" borderId="1" xfId="2" applyFont="1" applyFill="1" applyBorder="1"/>
    <xf numFmtId="0" fontId="1" fillId="0" borderId="1" xfId="2" applyFill="1" applyBorder="1"/>
    <xf numFmtId="4" fontId="22" fillId="0" borderId="0" xfId="2" applyNumberFormat="1" applyFont="1" applyBorder="1" applyAlignment="1">
      <alignment horizontal="center"/>
    </xf>
    <xf numFmtId="0" fontId="22" fillId="0" borderId="0" xfId="2" applyFont="1" applyAlignment="1">
      <alignment horizontal="center"/>
    </xf>
    <xf numFmtId="0" fontId="22" fillId="0" borderId="0" xfId="2" applyFont="1" applyBorder="1" applyAlignment="1">
      <alignment horizontal="center"/>
    </xf>
    <xf numFmtId="4" fontId="23" fillId="0" borderId="1" xfId="2" applyNumberFormat="1" applyFont="1" applyBorder="1" applyAlignment="1">
      <alignment horizontal="center"/>
    </xf>
    <xf numFmtId="0" fontId="19" fillId="0" borderId="0" xfId="2" applyFont="1" applyAlignment="1">
      <alignment horizontal="center"/>
    </xf>
    <xf numFmtId="0" fontId="23" fillId="0" borderId="1" xfId="2" applyFont="1" applyBorder="1" applyAlignment="1">
      <alignment horizontal="center"/>
    </xf>
    <xf numFmtId="4" fontId="20" fillId="0" borderId="1" xfId="2" applyNumberFormat="1" applyFont="1" applyBorder="1" applyAlignment="1">
      <alignment horizontal="center"/>
    </xf>
    <xf numFmtId="0" fontId="19" fillId="0" borderId="1" xfId="2" applyFont="1" applyBorder="1" applyAlignment="1">
      <alignment horizontal="center"/>
    </xf>
    <xf numFmtId="0" fontId="20" fillId="0" borderId="1" xfId="2" applyFont="1" applyBorder="1" applyAlignment="1">
      <alignment horizontal="left"/>
    </xf>
    <xf numFmtId="0" fontId="20" fillId="0" borderId="17" xfId="2" applyFont="1" applyBorder="1" applyAlignment="1">
      <alignment horizontal="center"/>
    </xf>
    <xf numFmtId="0" fontId="19" fillId="0" borderId="18" xfId="2" applyFont="1" applyBorder="1" applyAlignment="1">
      <alignment horizontal="center"/>
    </xf>
    <xf numFmtId="0" fontId="20" fillId="0" borderId="18" xfId="2" applyFont="1" applyBorder="1" applyAlignment="1">
      <alignment horizontal="left"/>
    </xf>
    <xf numFmtId="0" fontId="24" fillId="0" borderId="19" xfId="2" applyFont="1" applyBorder="1" applyAlignment="1">
      <alignment horizontal="center" wrapText="1"/>
    </xf>
    <xf numFmtId="0" fontId="24" fillId="0" borderId="1" xfId="2" applyFont="1" applyBorder="1" applyAlignment="1">
      <alignment horizontal="center" wrapText="1"/>
    </xf>
    <xf numFmtId="0" fontId="24" fillId="0" borderId="18" xfId="2" applyFont="1" applyBorder="1" applyAlignment="1">
      <alignment horizontal="center" wrapText="1"/>
    </xf>
    <xf numFmtId="0" fontId="24" fillId="0" borderId="19" xfId="2" applyFont="1" applyBorder="1" applyAlignment="1">
      <alignment horizontal="center"/>
    </xf>
    <xf numFmtId="0" fontId="24" fillId="0" borderId="14" xfId="2" applyFont="1" applyBorder="1" applyAlignment="1">
      <alignment horizontal="center"/>
    </xf>
    <xf numFmtId="0" fontId="24" fillId="0" borderId="18" xfId="2" applyFont="1" applyBorder="1" applyAlignment="1">
      <alignment horizontal="center"/>
    </xf>
    <xf numFmtId="0" fontId="24" fillId="0" borderId="20" xfId="2" applyFont="1" applyBorder="1" applyAlignment="1">
      <alignment horizontal="center"/>
    </xf>
    <xf numFmtId="0" fontId="24" fillId="0" borderId="16" xfId="2" applyFont="1" applyBorder="1" applyAlignment="1">
      <alignment horizontal="center"/>
    </xf>
    <xf numFmtId="0" fontId="25" fillId="0" borderId="21" xfId="2" applyFont="1" applyBorder="1" applyAlignment="1">
      <alignment horizontal="center" wrapText="1"/>
    </xf>
    <xf numFmtId="0" fontId="24" fillId="0" borderId="21" xfId="2" applyFont="1" applyBorder="1" applyAlignment="1">
      <alignment horizontal="center" wrapText="1"/>
    </xf>
    <xf numFmtId="0" fontId="25" fillId="0" borderId="22" xfId="2" applyFont="1" applyBorder="1" applyAlignment="1">
      <alignment horizontal="center"/>
    </xf>
    <xf numFmtId="0" fontId="25" fillId="0" borderId="23" xfId="2" applyFont="1" applyBorder="1" applyAlignment="1">
      <alignment horizontal="center"/>
    </xf>
    <xf numFmtId="0" fontId="25" fillId="0" borderId="21" xfId="2" applyFont="1" applyBorder="1" applyAlignment="1">
      <alignment horizontal="center"/>
    </xf>
    <xf numFmtId="0" fontId="19" fillId="0" borderId="0" xfId="2" applyFont="1" applyFill="1" applyAlignment="1">
      <alignment horizontal="center"/>
    </xf>
    <xf numFmtId="0" fontId="19" fillId="0" borderId="0" xfId="2" applyFont="1" applyFill="1" applyAlignment="1">
      <alignment horizont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topLeftCell="C23" workbookViewId="0">
      <selection activeCell="G40" sqref="G40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140625" style="2" customWidth="1"/>
    <col min="4" max="4" width="13" style="2" customWidth="1"/>
    <col min="5" max="5" width="11.5703125" style="2" customWidth="1"/>
    <col min="6" max="6" width="13" style="2" customWidth="1"/>
    <col min="7" max="7" width="11.85546875" style="2" customWidth="1"/>
    <col min="8" max="8" width="13.85546875" style="2" customWidth="1"/>
    <col min="9" max="9" width="25.5703125" style="2" customWidth="1"/>
    <col min="10" max="10" width="10.140625" style="1" hidden="1" customWidth="1"/>
    <col min="11" max="11" width="9.5703125" style="1" hidden="1" customWidth="1"/>
    <col min="12" max="12" width="9.5703125" style="1" bestFit="1" customWidth="1"/>
    <col min="13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43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1" ht="12.75" customHeight="1" x14ac:dyDescent="0.2">
      <c r="C17" s="33"/>
      <c r="D17" s="33"/>
      <c r="E17" s="32"/>
      <c r="F17" s="32"/>
      <c r="G17" s="32"/>
      <c r="H17" s="32"/>
      <c r="I17" s="32"/>
    </row>
    <row r="18" spans="3:11" ht="12.75" customHeight="1" x14ac:dyDescent="0.2">
      <c r="C18" s="33"/>
      <c r="D18" s="33"/>
      <c r="E18" s="32"/>
      <c r="F18" s="32"/>
      <c r="G18" s="32"/>
      <c r="H18" s="32"/>
      <c r="I18" s="32"/>
    </row>
    <row r="19" spans="3:11" ht="12.75" customHeight="1" x14ac:dyDescent="0.2">
      <c r="C19" s="33"/>
      <c r="D19" s="33"/>
      <c r="E19" s="32"/>
      <c r="F19" s="32"/>
      <c r="G19" s="32"/>
      <c r="H19" s="32"/>
      <c r="I19" s="32"/>
    </row>
    <row r="20" spans="3:11" ht="14.25" x14ac:dyDescent="0.2">
      <c r="C20" s="59" t="s">
        <v>42</v>
      </c>
      <c r="D20" s="59"/>
      <c r="E20" s="59"/>
      <c r="F20" s="59"/>
      <c r="G20" s="59"/>
      <c r="H20" s="59"/>
      <c r="I20" s="59"/>
    </row>
    <row r="21" spans="3:11" x14ac:dyDescent="0.2">
      <c r="C21" s="60" t="s">
        <v>41</v>
      </c>
      <c r="D21" s="60"/>
      <c r="E21" s="60"/>
      <c r="F21" s="60"/>
      <c r="G21" s="60"/>
      <c r="H21" s="60"/>
      <c r="I21" s="60"/>
    </row>
    <row r="22" spans="3:11" x14ac:dyDescent="0.2">
      <c r="C22" s="60" t="s">
        <v>40</v>
      </c>
      <c r="D22" s="60"/>
      <c r="E22" s="60"/>
      <c r="F22" s="60"/>
      <c r="G22" s="60"/>
      <c r="H22" s="60"/>
      <c r="I22" s="60"/>
    </row>
    <row r="23" spans="3:11" ht="6" customHeight="1" thickBot="1" x14ac:dyDescent="0.25">
      <c r="C23" s="61"/>
      <c r="D23" s="61"/>
      <c r="E23" s="61"/>
      <c r="F23" s="61"/>
      <c r="G23" s="61"/>
      <c r="H23" s="61"/>
      <c r="I23" s="61"/>
    </row>
    <row r="24" spans="3:11" ht="48.75" customHeight="1" thickBot="1" x14ac:dyDescent="0.25">
      <c r="C24" s="26" t="s">
        <v>30</v>
      </c>
      <c r="D24" s="29" t="s">
        <v>29</v>
      </c>
      <c r="E24" s="28" t="s">
        <v>28</v>
      </c>
      <c r="F24" s="28" t="s">
        <v>27</v>
      </c>
      <c r="G24" s="28" t="s">
        <v>26</v>
      </c>
      <c r="H24" s="28" t="s">
        <v>25</v>
      </c>
      <c r="I24" s="29" t="s">
        <v>39</v>
      </c>
    </row>
    <row r="25" spans="3:11" ht="13.5" customHeight="1" thickBot="1" x14ac:dyDescent="0.25">
      <c r="C25" s="55" t="s">
        <v>38</v>
      </c>
      <c r="D25" s="56"/>
      <c r="E25" s="56"/>
      <c r="F25" s="56"/>
      <c r="G25" s="56"/>
      <c r="H25" s="56"/>
      <c r="I25" s="57"/>
    </row>
    <row r="26" spans="3:11" ht="13.5" customHeight="1" thickBot="1" x14ac:dyDescent="0.25">
      <c r="C26" s="15" t="s">
        <v>37</v>
      </c>
      <c r="D26" s="22">
        <v>85120.439999999973</v>
      </c>
      <c r="E26" s="22"/>
      <c r="F26" s="22"/>
      <c r="G26" s="22"/>
      <c r="H26" s="22">
        <f>+D26+E26-F26</f>
        <v>85120.439999999973</v>
      </c>
      <c r="I26" s="52" t="s">
        <v>36</v>
      </c>
      <c r="K26" s="31">
        <f>166962.86+1970.54+10484.99+17071.58</f>
        <v>196489.96999999997</v>
      </c>
    </row>
    <row r="27" spans="3:11" ht="13.5" customHeight="1" thickBot="1" x14ac:dyDescent="0.25">
      <c r="C27" s="15" t="s">
        <v>35</v>
      </c>
      <c r="D27" s="22">
        <v>35214.699999999852</v>
      </c>
      <c r="E27" s="18"/>
      <c r="F27" s="18"/>
      <c r="G27" s="22"/>
      <c r="H27" s="22">
        <f>+D27+E27-F27</f>
        <v>35214.699999999852</v>
      </c>
      <c r="I27" s="53"/>
      <c r="J27" s="1">
        <f>786.75+4640.62+47851.04-5476.03+10075.93</f>
        <v>57878.310000000005</v>
      </c>
      <c r="K27" s="31">
        <f>9506.1+73665.52-10023.26+4586.92-157.62+768.74</f>
        <v>78346.400000000023</v>
      </c>
    </row>
    <row r="28" spans="3:11" ht="13.5" customHeight="1" thickBot="1" x14ac:dyDescent="0.25">
      <c r="C28" s="15" t="s">
        <v>34</v>
      </c>
      <c r="D28" s="22">
        <v>19124.520000000099</v>
      </c>
      <c r="E28" s="18"/>
      <c r="F28" s="18"/>
      <c r="G28" s="22"/>
      <c r="H28" s="22">
        <f>+D28+E28-F28</f>
        <v>19124.520000000099</v>
      </c>
      <c r="I28" s="53"/>
      <c r="K28" s="1">
        <f>405.63+11131.45+32069.05-3851.75</f>
        <v>39754.379999999997</v>
      </c>
    </row>
    <row r="29" spans="3:11" ht="13.5" customHeight="1" thickBot="1" x14ac:dyDescent="0.25">
      <c r="C29" s="15" t="s">
        <v>33</v>
      </c>
      <c r="D29" s="22">
        <v>12460.510000000024</v>
      </c>
      <c r="E29" s="18"/>
      <c r="F29" s="18">
        <v>9.66</v>
      </c>
      <c r="G29" s="22"/>
      <c r="H29" s="22">
        <f>+D29+E29-F29</f>
        <v>12450.850000000024</v>
      </c>
      <c r="I29" s="53"/>
      <c r="K29" s="31">
        <f>98.3+10637.03-1468.33+1513.06+11405.08-1348.52+3839.29</f>
        <v>24675.91</v>
      </c>
    </row>
    <row r="30" spans="3:11" ht="13.5" customHeight="1" thickBot="1" x14ac:dyDescent="0.25">
      <c r="C30" s="15" t="s">
        <v>32</v>
      </c>
      <c r="D30" s="22">
        <v>5747.9800000000032</v>
      </c>
      <c r="E30" s="18">
        <f>56049.98+80706.78+27725.55</f>
        <v>164482.31</v>
      </c>
      <c r="F30" s="18">
        <f>72300.06+22694.5+46724.22+1105.02-70.23</f>
        <v>142753.56999999998</v>
      </c>
      <c r="G30" s="22">
        <f>+E30</f>
        <v>164482.31</v>
      </c>
      <c r="H30" s="22">
        <f>+D30+E30-F30</f>
        <v>27476.72000000003</v>
      </c>
      <c r="I30" s="54"/>
      <c r="K30" s="1">
        <f>14.34+57-10.38+159.19+1533.94+1.33+1217</f>
        <v>2972.42</v>
      </c>
    </row>
    <row r="31" spans="3:11" ht="13.5" customHeight="1" thickBot="1" x14ac:dyDescent="0.25">
      <c r="C31" s="15" t="s">
        <v>7</v>
      </c>
      <c r="D31" s="14">
        <f>SUM(D26:D30)</f>
        <v>157668.14999999994</v>
      </c>
      <c r="E31" s="14">
        <f>SUM(E26:E30)</f>
        <v>164482.31</v>
      </c>
      <c r="F31" s="14">
        <f>SUM(F26:F30)</f>
        <v>142763.22999999998</v>
      </c>
      <c r="G31" s="14">
        <f>SUM(G26:G30)</f>
        <v>164482.31</v>
      </c>
      <c r="H31" s="14">
        <f>SUM(H26:H30)</f>
        <v>179387.22999999998</v>
      </c>
      <c r="I31" s="30"/>
    </row>
    <row r="32" spans="3:11" ht="13.5" customHeight="1" thickBot="1" x14ac:dyDescent="0.25">
      <c r="C32" s="58" t="s">
        <v>31</v>
      </c>
      <c r="D32" s="58"/>
      <c r="E32" s="58"/>
      <c r="F32" s="58"/>
      <c r="G32" s="58"/>
      <c r="H32" s="58"/>
      <c r="I32" s="58"/>
    </row>
    <row r="33" spans="3:12" ht="51.75" customHeight="1" thickBot="1" x14ac:dyDescent="0.25">
      <c r="C33" s="21" t="s">
        <v>30</v>
      </c>
      <c r="D33" s="29" t="s">
        <v>29</v>
      </c>
      <c r="E33" s="28" t="s">
        <v>28</v>
      </c>
      <c r="F33" s="28" t="s">
        <v>27</v>
      </c>
      <c r="G33" s="28" t="s">
        <v>26</v>
      </c>
      <c r="H33" s="28" t="s">
        <v>25</v>
      </c>
      <c r="I33" s="27" t="s">
        <v>24</v>
      </c>
    </row>
    <row r="34" spans="3:12" ht="18.75" customHeight="1" thickBot="1" x14ac:dyDescent="0.25">
      <c r="C34" s="26" t="s">
        <v>23</v>
      </c>
      <c r="D34" s="25">
        <v>137363.10999999999</v>
      </c>
      <c r="E34" s="17">
        <v>836641.08</v>
      </c>
      <c r="F34" s="17">
        <f>814856.39+301.81</f>
        <v>815158.20000000007</v>
      </c>
      <c r="G34" s="17">
        <f>+E34</f>
        <v>836641.08</v>
      </c>
      <c r="H34" s="17">
        <f t="shared" ref="H34:H43" si="0">+D34+E34-F34</f>
        <v>158845.98999999987</v>
      </c>
      <c r="I34" s="62" t="s">
        <v>22</v>
      </c>
      <c r="J34" s="24">
        <f>10.05-0.01+43.1-0.04+61083.79-D34</f>
        <v>-76226.219999999987</v>
      </c>
      <c r="K34" s="24">
        <f>345.54+1407.5+80947.62-H34</f>
        <v>-76145.329999999885</v>
      </c>
    </row>
    <row r="35" spans="3:12" ht="19.5" customHeight="1" thickBot="1" x14ac:dyDescent="0.25">
      <c r="C35" s="15" t="s">
        <v>21</v>
      </c>
      <c r="D35" s="19">
        <v>31255.599999999948</v>
      </c>
      <c r="E35" s="22">
        <v>185690.52</v>
      </c>
      <c r="F35" s="22">
        <f>180845.85+65.56</f>
        <v>180911.41</v>
      </c>
      <c r="G35" s="17">
        <v>60920.88</v>
      </c>
      <c r="H35" s="17">
        <f t="shared" si="0"/>
        <v>36034.709999999934</v>
      </c>
      <c r="I35" s="63"/>
      <c r="J35" s="24"/>
    </row>
    <row r="36" spans="3:12" ht="13.5" customHeight="1" thickBot="1" x14ac:dyDescent="0.25">
      <c r="C36" s="21" t="s">
        <v>20</v>
      </c>
      <c r="D36" s="23">
        <v>3797.74</v>
      </c>
      <c r="E36" s="22"/>
      <c r="F36" s="22"/>
      <c r="G36" s="17">
        <f>62500*1.2</f>
        <v>75000</v>
      </c>
      <c r="H36" s="17">
        <f t="shared" si="0"/>
        <v>3797.74</v>
      </c>
      <c r="I36" s="20"/>
    </row>
    <row r="37" spans="3:12" ht="12.75" hidden="1" customHeight="1" thickBot="1" x14ac:dyDescent="0.25">
      <c r="C37" s="15" t="s">
        <v>19</v>
      </c>
      <c r="D37" s="19">
        <v>0</v>
      </c>
      <c r="E37" s="22"/>
      <c r="F37" s="22"/>
      <c r="G37" s="17"/>
      <c r="H37" s="17">
        <f t="shared" si="0"/>
        <v>0</v>
      </c>
      <c r="I37" s="20" t="s">
        <v>18</v>
      </c>
    </row>
    <row r="38" spans="3:12" ht="26.25" customHeight="1" thickBot="1" x14ac:dyDescent="0.25">
      <c r="C38" s="15" t="s">
        <v>17</v>
      </c>
      <c r="D38" s="19">
        <v>15445.570000000007</v>
      </c>
      <c r="E38" s="22"/>
      <c r="F38" s="22">
        <f>1920.43+931.61</f>
        <v>2852.04</v>
      </c>
      <c r="G38" s="17"/>
      <c r="H38" s="17">
        <f t="shared" si="0"/>
        <v>12593.530000000006</v>
      </c>
      <c r="I38" s="16" t="s">
        <v>16</v>
      </c>
      <c r="J38" s="1">
        <f>9578.33+4154.62</f>
        <v>13732.95</v>
      </c>
      <c r="K38" s="1">
        <f>3685.06+3949.52+10801.44</f>
        <v>18436.02</v>
      </c>
    </row>
    <row r="39" spans="3:12" ht="13.5" customHeight="1" thickBot="1" x14ac:dyDescent="0.25">
      <c r="C39" s="15" t="s">
        <v>15</v>
      </c>
      <c r="D39" s="19">
        <v>2009.0100000000002</v>
      </c>
      <c r="E39" s="18">
        <v>11683.44</v>
      </c>
      <c r="F39" s="18">
        <f>11379.24+4.31</f>
        <v>11383.55</v>
      </c>
      <c r="G39" s="17">
        <v>30749.94</v>
      </c>
      <c r="H39" s="17">
        <f t="shared" si="0"/>
        <v>2308.9000000000015</v>
      </c>
      <c r="I39" s="16" t="s">
        <v>14</v>
      </c>
    </row>
    <row r="40" spans="3:12" ht="13.5" customHeight="1" thickBot="1" x14ac:dyDescent="0.25">
      <c r="C40" s="21" t="s">
        <v>13</v>
      </c>
      <c r="D40" s="19">
        <v>8084.8899999999849</v>
      </c>
      <c r="E40" s="18">
        <v>1.3</v>
      </c>
      <c r="F40" s="18">
        <f>76.33+113.77</f>
        <v>190.1</v>
      </c>
      <c r="G40" s="17"/>
      <c r="H40" s="17">
        <f t="shared" si="0"/>
        <v>7896.0899999999847</v>
      </c>
      <c r="I40" s="20"/>
    </row>
    <row r="41" spans="3:12" ht="13.5" customHeight="1" thickBot="1" x14ac:dyDescent="0.25">
      <c r="C41" s="15" t="s">
        <v>12</v>
      </c>
      <c r="D41" s="19">
        <v>14415.180000000004</v>
      </c>
      <c r="E41" s="18">
        <v>700.53</v>
      </c>
      <c r="F41" s="18">
        <f>1537.52+0.03</f>
        <v>1537.55</v>
      </c>
      <c r="G41" s="17">
        <f>+E41</f>
        <v>700.53</v>
      </c>
      <c r="H41" s="17">
        <f t="shared" si="0"/>
        <v>13578.160000000005</v>
      </c>
      <c r="I41" s="20"/>
      <c r="J41" s="1">
        <f>1223.32+2717.5</f>
        <v>3940.8199999999997</v>
      </c>
      <c r="K41" s="1">
        <f>16995.18+5916.38</f>
        <v>22911.56</v>
      </c>
    </row>
    <row r="42" spans="3:12" ht="13.5" customHeight="1" thickBot="1" x14ac:dyDescent="0.25">
      <c r="C42" s="15" t="s">
        <v>11</v>
      </c>
      <c r="D42" s="19">
        <v>4093.8199999999997</v>
      </c>
      <c r="E42" s="18">
        <f>18761.18+5242.22</f>
        <v>24003.4</v>
      </c>
      <c r="F42" s="18">
        <f>18302.64+5093.55+174.89</f>
        <v>23571.079999999998</v>
      </c>
      <c r="G42" s="17">
        <f>+E42</f>
        <v>24003.4</v>
      </c>
      <c r="H42" s="17">
        <f t="shared" si="0"/>
        <v>4526.1400000000031</v>
      </c>
      <c r="I42" s="20" t="s">
        <v>10</v>
      </c>
    </row>
    <row r="43" spans="3:12" ht="13.5" customHeight="1" thickBot="1" x14ac:dyDescent="0.25">
      <c r="C43" s="15" t="s">
        <v>9</v>
      </c>
      <c r="D43" s="19">
        <v>7630.1599999999889</v>
      </c>
      <c r="E43" s="18">
        <v>44231.88</v>
      </c>
      <c r="F43" s="18">
        <f>43080.79+16.16</f>
        <v>43096.950000000004</v>
      </c>
      <c r="G43" s="17">
        <v>40743.129999999997</v>
      </c>
      <c r="H43" s="17">
        <f t="shared" si="0"/>
        <v>8765.089999999982</v>
      </c>
      <c r="I43" s="16" t="s">
        <v>8</v>
      </c>
    </row>
    <row r="44" spans="3:12" s="11" customFormat="1" ht="13.5" customHeight="1" thickBot="1" x14ac:dyDescent="0.25">
      <c r="C44" s="15" t="s">
        <v>7</v>
      </c>
      <c r="D44" s="14">
        <f>SUM(D34:D43)</f>
        <v>224095.0799999999</v>
      </c>
      <c r="E44" s="14">
        <f>SUM(E34:E43)</f>
        <v>1102952.1499999999</v>
      </c>
      <c r="F44" s="14">
        <f>SUM(F34:F43)</f>
        <v>1078700.8800000001</v>
      </c>
      <c r="G44" s="14">
        <f>SUM(G34:G43)</f>
        <v>1068758.96</v>
      </c>
      <c r="H44" s="14">
        <f>SUM(H34:H43)</f>
        <v>248346.3499999998</v>
      </c>
      <c r="I44" s="13"/>
      <c r="L44" s="12"/>
    </row>
    <row r="45" spans="3:12" ht="13.5" customHeight="1" thickBot="1" x14ac:dyDescent="0.25">
      <c r="C45" s="64" t="s">
        <v>6</v>
      </c>
      <c r="D45" s="64"/>
      <c r="E45" s="64"/>
      <c r="F45" s="64"/>
      <c r="G45" s="64"/>
      <c r="H45" s="64"/>
      <c r="I45" s="64"/>
    </row>
    <row r="46" spans="3:12" ht="36.75" customHeight="1" thickBot="1" x14ac:dyDescent="0.25">
      <c r="C46" s="10" t="s">
        <v>5</v>
      </c>
      <c r="D46" s="51" t="s">
        <v>4</v>
      </c>
      <c r="E46" s="51"/>
      <c r="F46" s="51"/>
      <c r="G46" s="51"/>
      <c r="H46" s="51"/>
      <c r="I46" s="9" t="s">
        <v>3</v>
      </c>
    </row>
    <row r="47" spans="3:12" ht="19.5" customHeight="1" x14ac:dyDescent="0.3">
      <c r="C47" s="8" t="s">
        <v>2</v>
      </c>
      <c r="D47" s="8"/>
      <c r="E47" s="8"/>
      <c r="F47" s="8"/>
      <c r="G47" s="8"/>
      <c r="H47" s="7">
        <f>+H31+H44</f>
        <v>427733.57999999978</v>
      </c>
    </row>
    <row r="48" spans="3:12" s="6" customFormat="1" hidden="1" x14ac:dyDescent="0.2">
      <c r="C48" s="2" t="s">
        <v>1</v>
      </c>
      <c r="D48" s="2"/>
      <c r="E48" s="2"/>
      <c r="F48" s="2"/>
      <c r="G48" s="2"/>
      <c r="H48" s="2"/>
      <c r="I48" s="2"/>
    </row>
    <row r="49" spans="3:8" x14ac:dyDescent="0.2">
      <c r="C49" s="1"/>
      <c r="D49" s="1"/>
      <c r="E49" s="1"/>
      <c r="F49" s="1"/>
      <c r="G49" s="1"/>
      <c r="H49" s="1"/>
    </row>
    <row r="50" spans="3:8" ht="15" customHeight="1" x14ac:dyDescent="0.25">
      <c r="C50" s="5"/>
      <c r="D50" s="4"/>
      <c r="E50" s="4"/>
      <c r="F50" s="4"/>
    </row>
    <row r="51" spans="3:8" hidden="1" x14ac:dyDescent="0.2">
      <c r="D51" s="3"/>
      <c r="H51" s="2">
        <f>29577.66+6880.64+1783.1+27663.31+13713.91+26829.84+3893.66+127841.36+19019.49+2757.82+722.58</f>
        <v>260683.37</v>
      </c>
    </row>
    <row r="52" spans="3:8" x14ac:dyDescent="0.2">
      <c r="C52" s="2" t="s">
        <v>0</v>
      </c>
      <c r="E52" s="3">
        <f>+E44+E31+21915</f>
        <v>1289349.46</v>
      </c>
      <c r="F52" s="3"/>
      <c r="G52" s="3">
        <f>+G44+G31</f>
        <v>1233241.27</v>
      </c>
      <c r="H52" s="3"/>
    </row>
  </sheetData>
  <mergeCells count="10">
    <mergeCell ref="D46:H46"/>
    <mergeCell ref="I26:I30"/>
    <mergeCell ref="C25:I25"/>
    <mergeCell ref="C32:I32"/>
    <mergeCell ref="C20:I20"/>
    <mergeCell ref="C21:I21"/>
    <mergeCell ref="C22:I22"/>
    <mergeCell ref="C23:I23"/>
    <mergeCell ref="I34:I35"/>
    <mergeCell ref="C45:I4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opLeftCell="A15" zoomScaleNormal="100" zoomScaleSheetLayoutView="120" workbookViewId="0">
      <selection activeCell="G17" sqref="G17"/>
    </sheetView>
  </sheetViews>
  <sheetFormatPr defaultRowHeight="15" x14ac:dyDescent="0.25"/>
  <cols>
    <col min="1" max="1" width="4.5703125" style="39" customWidth="1"/>
    <col min="2" max="2" width="12.42578125" style="39" customWidth="1"/>
    <col min="3" max="3" width="13.28515625" style="39" hidden="1" customWidth="1"/>
    <col min="4" max="4" width="12.140625" style="39" customWidth="1"/>
    <col min="5" max="5" width="13.5703125" style="39" customWidth="1"/>
    <col min="6" max="6" width="13.28515625" style="39" customWidth="1"/>
    <col min="7" max="7" width="14.28515625" style="39" customWidth="1"/>
    <col min="8" max="8" width="15.140625" style="39" customWidth="1"/>
    <col min="9" max="9" width="14.28515625" style="39" customWidth="1"/>
    <col min="10" max="16384" width="9.140625" style="39"/>
  </cols>
  <sheetData>
    <row r="13" spans="1:9" x14ac:dyDescent="0.25">
      <c r="A13" s="65" t="s">
        <v>64</v>
      </c>
      <c r="B13" s="65"/>
      <c r="C13" s="65"/>
      <c r="D13" s="65"/>
      <c r="E13" s="65"/>
      <c r="F13" s="65"/>
      <c r="G13" s="65"/>
      <c r="H13" s="65"/>
      <c r="I13" s="65"/>
    </row>
    <row r="14" spans="1:9" x14ac:dyDescent="0.25">
      <c r="A14" s="65" t="s">
        <v>63</v>
      </c>
      <c r="B14" s="65"/>
      <c r="C14" s="65"/>
      <c r="D14" s="65"/>
      <c r="E14" s="65"/>
      <c r="F14" s="65"/>
      <c r="G14" s="65"/>
      <c r="H14" s="65"/>
      <c r="I14" s="65"/>
    </row>
    <row r="15" spans="1:9" x14ac:dyDescent="0.25">
      <c r="A15" s="65" t="s">
        <v>62</v>
      </c>
      <c r="B15" s="65"/>
      <c r="C15" s="65"/>
      <c r="D15" s="65"/>
      <c r="E15" s="65"/>
      <c r="F15" s="65"/>
      <c r="G15" s="65"/>
      <c r="H15" s="65"/>
      <c r="I15" s="65"/>
    </row>
    <row r="16" spans="1:9" ht="60" x14ac:dyDescent="0.25">
      <c r="A16" s="49" t="s">
        <v>61</v>
      </c>
      <c r="B16" s="49" t="s">
        <v>60</v>
      </c>
      <c r="C16" s="49" t="s">
        <v>59</v>
      </c>
      <c r="D16" s="49" t="s">
        <v>58</v>
      </c>
      <c r="E16" s="49" t="s">
        <v>57</v>
      </c>
      <c r="F16" s="50" t="s">
        <v>56</v>
      </c>
      <c r="G16" s="50" t="s">
        <v>55</v>
      </c>
      <c r="H16" s="49" t="s">
        <v>54</v>
      </c>
      <c r="I16" s="49" t="s">
        <v>53</v>
      </c>
    </row>
    <row r="17" spans="1:9" x14ac:dyDescent="0.25">
      <c r="A17" s="48" t="s">
        <v>52</v>
      </c>
      <c r="B17" s="46">
        <v>452.35343</v>
      </c>
      <c r="C17" s="47"/>
      <c r="D17" s="46">
        <v>185.69051999999999</v>
      </c>
      <c r="E17" s="46">
        <v>180.91140999999999</v>
      </c>
      <c r="F17" s="46">
        <v>21.914999999999999</v>
      </c>
      <c r="G17" s="45">
        <v>60.920879999999997</v>
      </c>
      <c r="H17" s="44">
        <v>36.034709999999997</v>
      </c>
      <c r="I17" s="44">
        <f>B17+D17+F17-G17</f>
        <v>599.03806999999995</v>
      </c>
    </row>
    <row r="19" spans="1:9" x14ac:dyDescent="0.25">
      <c r="A19" s="39" t="s">
        <v>51</v>
      </c>
    </row>
    <row r="20" spans="1:9" x14ac:dyDescent="0.25">
      <c r="A20" s="41" t="s">
        <v>50</v>
      </c>
      <c r="B20" s="41"/>
      <c r="C20" s="41"/>
      <c r="D20" s="41"/>
      <c r="E20" s="43"/>
      <c r="F20" s="41"/>
      <c r="G20" s="41"/>
    </row>
    <row r="21" spans="1:9" x14ac:dyDescent="0.25">
      <c r="A21" s="41" t="s">
        <v>49</v>
      </c>
      <c r="B21" s="41"/>
      <c r="C21" s="41"/>
      <c r="D21" s="41"/>
      <c r="E21" s="41"/>
      <c r="F21" s="41"/>
      <c r="G21" s="41"/>
    </row>
    <row r="22" spans="1:9" x14ac:dyDescent="0.25">
      <c r="A22" s="41" t="s">
        <v>48</v>
      </c>
      <c r="B22" s="41"/>
      <c r="C22" s="41"/>
      <c r="D22" s="41"/>
      <c r="E22" s="41"/>
      <c r="F22" s="41"/>
      <c r="G22" s="41"/>
    </row>
    <row r="23" spans="1:9" x14ac:dyDescent="0.25">
      <c r="A23" s="41" t="s">
        <v>47</v>
      </c>
      <c r="B23" s="41"/>
      <c r="C23" s="41"/>
      <c r="D23" s="41"/>
      <c r="E23" s="41"/>
      <c r="F23" s="41"/>
      <c r="G23" s="41"/>
    </row>
    <row r="24" spans="1:9" x14ac:dyDescent="0.25">
      <c r="A24" s="41" t="s">
        <v>46</v>
      </c>
      <c r="B24" s="41"/>
      <c r="C24" s="41"/>
      <c r="D24" s="41"/>
      <c r="E24" s="41"/>
      <c r="F24" s="41"/>
      <c r="G24" s="41"/>
    </row>
    <row r="25" spans="1:9" x14ac:dyDescent="0.25">
      <c r="A25" s="41" t="s">
        <v>45</v>
      </c>
      <c r="B25" s="41"/>
      <c r="C25" s="41"/>
      <c r="D25" s="41"/>
      <c r="E25" s="41"/>
      <c r="F25" s="41"/>
      <c r="G25" s="41"/>
    </row>
    <row r="26" spans="1:9" x14ac:dyDescent="0.25">
      <c r="A26" s="41" t="s">
        <v>44</v>
      </c>
      <c r="B26" s="41"/>
      <c r="C26" s="41"/>
      <c r="D26" s="41"/>
      <c r="E26" s="41"/>
      <c r="F26" s="41"/>
      <c r="G26" s="41"/>
    </row>
    <row r="27" spans="1:9" x14ac:dyDescent="0.25">
      <c r="A27" s="41"/>
      <c r="B27" s="41"/>
      <c r="C27" s="41"/>
      <c r="D27" s="41"/>
      <c r="E27" s="41"/>
      <c r="F27" s="41"/>
      <c r="G27" s="41"/>
    </row>
    <row r="28" spans="1:9" x14ac:dyDescent="0.25">
      <c r="A28" s="42"/>
      <c r="B28" s="41"/>
      <c r="C28" s="41"/>
      <c r="D28" s="41"/>
      <c r="E28" s="41"/>
      <c r="F28" s="41"/>
      <c r="G28" s="41"/>
    </row>
    <row r="29" spans="1:9" x14ac:dyDescent="0.25">
      <c r="A29" s="40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zoomScaleNormal="100" zoomScaleSheetLayoutView="120" workbookViewId="0">
      <selection activeCell="D29" sqref="D29"/>
    </sheetView>
  </sheetViews>
  <sheetFormatPr defaultRowHeight="15" x14ac:dyDescent="0.25"/>
  <cols>
    <col min="1" max="1" width="9.140625" style="66"/>
    <col min="2" max="2" width="6.28515625" style="66" customWidth="1"/>
    <col min="3" max="3" width="13" style="66" customWidth="1"/>
    <col min="4" max="4" width="7" style="66" customWidth="1"/>
    <col min="5" max="5" width="15.7109375" style="66" customWidth="1"/>
    <col min="6" max="6" width="13.5703125" style="66" customWidth="1"/>
    <col min="7" max="7" width="13.28515625" style="66" customWidth="1"/>
    <col min="8" max="8" width="14.28515625" style="66" customWidth="1"/>
    <col min="9" max="9" width="15.140625" style="66" customWidth="1"/>
    <col min="10" max="10" width="14.28515625" style="66" customWidth="1"/>
    <col min="11" max="16384" width="9.140625" style="66"/>
  </cols>
  <sheetData>
    <row r="2" spans="1:10" ht="33.75" customHeight="1" x14ac:dyDescent="0.25">
      <c r="B2" s="105" t="s">
        <v>85</v>
      </c>
      <c r="C2" s="105"/>
      <c r="D2" s="105"/>
      <c r="E2" s="105"/>
      <c r="F2" s="105"/>
      <c r="G2" s="105"/>
      <c r="H2" s="105"/>
      <c r="I2" s="105"/>
      <c r="J2" s="104"/>
    </row>
    <row r="3" spans="1:10" x14ac:dyDescent="0.25">
      <c r="B3" s="67"/>
      <c r="C3" s="67"/>
      <c r="D3" s="67"/>
      <c r="E3" s="67"/>
      <c r="F3" s="67"/>
      <c r="G3" s="67"/>
      <c r="H3" s="67"/>
      <c r="I3" s="67"/>
      <c r="J3" s="67"/>
    </row>
    <row r="4" spans="1:10" x14ac:dyDescent="0.25">
      <c r="B4" s="81"/>
      <c r="C4" s="80"/>
      <c r="D4" s="80"/>
      <c r="E4" s="80"/>
      <c r="F4" s="80"/>
      <c r="G4" s="79"/>
      <c r="H4" s="79"/>
      <c r="I4" s="79"/>
      <c r="J4" s="67"/>
    </row>
    <row r="5" spans="1:10" x14ac:dyDescent="0.25">
      <c r="A5" s="83"/>
      <c r="C5" s="103"/>
      <c r="D5" s="102"/>
      <c r="E5" s="101"/>
      <c r="F5" s="100" t="s">
        <v>84</v>
      </c>
      <c r="G5" s="99"/>
      <c r="H5" s="98" t="s">
        <v>83</v>
      </c>
      <c r="I5" s="97"/>
    </row>
    <row r="6" spans="1:10" ht="24.75" x14ac:dyDescent="0.25">
      <c r="A6" s="83"/>
      <c r="C6" s="96" t="s">
        <v>82</v>
      </c>
      <c r="D6" s="95" t="s">
        <v>81</v>
      </c>
      <c r="E6" s="94"/>
      <c r="F6" s="93" t="s">
        <v>80</v>
      </c>
      <c r="G6" s="93" t="s">
        <v>79</v>
      </c>
      <c r="H6" s="92" t="s">
        <v>78</v>
      </c>
      <c r="I6" s="91" t="s">
        <v>77</v>
      </c>
    </row>
    <row r="7" spans="1:10" x14ac:dyDescent="0.25">
      <c r="A7" s="83"/>
      <c r="C7" s="88" t="s">
        <v>76</v>
      </c>
      <c r="D7" s="90" t="s">
        <v>75</v>
      </c>
      <c r="E7" s="90"/>
      <c r="F7" s="89"/>
      <c r="G7" s="85">
        <f>+(62500+613800)*1.2</f>
        <v>811560</v>
      </c>
      <c r="H7" s="85">
        <f>62500*1.2</f>
        <v>75000</v>
      </c>
      <c r="I7" s="85">
        <f>+G7-H7</f>
        <v>736560</v>
      </c>
    </row>
    <row r="8" spans="1:10" x14ac:dyDescent="0.25">
      <c r="A8" s="83"/>
      <c r="C8" s="88" t="s">
        <v>74</v>
      </c>
      <c r="D8" s="87"/>
      <c r="E8" s="87"/>
      <c r="F8" s="86"/>
      <c r="G8" s="85"/>
      <c r="H8" s="85"/>
      <c r="I8" s="85"/>
    </row>
    <row r="9" spans="1:10" x14ac:dyDescent="0.25">
      <c r="A9" s="83"/>
      <c r="C9" s="84" t="s">
        <v>73</v>
      </c>
      <c r="D9" s="83"/>
      <c r="E9" s="83"/>
      <c r="F9" s="83"/>
      <c r="G9" s="82">
        <f>SUM(G7:G8)</f>
        <v>811560</v>
      </c>
      <c r="H9" s="82">
        <f>SUM(H7:H8)</f>
        <v>75000</v>
      </c>
      <c r="I9" s="82">
        <f>SUM(I7:I8)</f>
        <v>736560</v>
      </c>
    </row>
    <row r="10" spans="1:10" x14ac:dyDescent="0.25">
      <c r="B10" s="81"/>
      <c r="C10" s="80"/>
      <c r="D10" s="80"/>
      <c r="E10" s="80"/>
      <c r="F10" s="80"/>
      <c r="G10" s="79"/>
      <c r="H10" s="79"/>
      <c r="I10" s="79"/>
      <c r="J10" s="67"/>
    </row>
    <row r="11" spans="1:10" x14ac:dyDescent="0.25">
      <c r="B11" s="81"/>
      <c r="C11" s="80"/>
      <c r="D11" s="80"/>
      <c r="E11" s="80"/>
      <c r="F11" s="80"/>
      <c r="G11" s="79"/>
      <c r="H11" s="79"/>
      <c r="I11" s="79"/>
      <c r="J11" s="67"/>
    </row>
    <row r="12" spans="1:10" x14ac:dyDescent="0.25">
      <c r="B12" s="67"/>
      <c r="C12" s="73" t="s">
        <v>70</v>
      </c>
      <c r="D12" s="72"/>
      <c r="E12" s="72"/>
      <c r="F12" s="72"/>
      <c r="G12" s="77">
        <v>3797.74</v>
      </c>
      <c r="H12" s="67"/>
      <c r="I12" s="67"/>
      <c r="J12" s="67"/>
    </row>
    <row r="13" spans="1:10" x14ac:dyDescent="0.25">
      <c r="B13" s="67"/>
      <c r="C13" s="73" t="s">
        <v>72</v>
      </c>
      <c r="D13" s="72"/>
      <c r="E13" s="72"/>
      <c r="F13" s="72"/>
      <c r="G13" s="78"/>
      <c r="H13" s="67"/>
      <c r="I13" s="67"/>
      <c r="J13" s="67"/>
    </row>
    <row r="14" spans="1:10" x14ac:dyDescent="0.25">
      <c r="B14" s="67"/>
      <c r="C14" s="73" t="s">
        <v>71</v>
      </c>
      <c r="D14" s="72"/>
      <c r="E14" s="72"/>
      <c r="F14" s="72"/>
      <c r="G14" s="78"/>
      <c r="H14" s="67"/>
      <c r="I14" s="67"/>
    </row>
    <row r="15" spans="1:10" x14ac:dyDescent="0.25">
      <c r="B15" s="67"/>
      <c r="C15" s="73" t="s">
        <v>70</v>
      </c>
      <c r="D15" s="72"/>
      <c r="E15" s="72"/>
      <c r="F15" s="72"/>
      <c r="G15" s="77">
        <f>G12+G13-G14</f>
        <v>3797.74</v>
      </c>
      <c r="H15" s="67"/>
      <c r="I15" s="67"/>
    </row>
    <row r="16" spans="1:10" x14ac:dyDescent="0.25">
      <c r="B16" s="67"/>
      <c r="C16" s="76"/>
      <c r="D16" s="76"/>
      <c r="E16" s="76"/>
      <c r="F16" s="76"/>
      <c r="G16" s="76"/>
      <c r="H16" s="76"/>
      <c r="I16" s="67"/>
    </row>
    <row r="17" spans="2:9" x14ac:dyDescent="0.25">
      <c r="B17" s="67"/>
      <c r="C17" s="73" t="s">
        <v>69</v>
      </c>
      <c r="D17" s="72"/>
      <c r="E17" s="72"/>
      <c r="F17" s="72"/>
      <c r="G17" s="72"/>
      <c r="H17" s="68">
        <v>74212.03</v>
      </c>
      <c r="I17" s="67"/>
    </row>
    <row r="18" spans="2:9" x14ac:dyDescent="0.25">
      <c r="B18" s="67"/>
      <c r="C18" s="73" t="s">
        <v>68</v>
      </c>
      <c r="D18" s="72"/>
      <c r="E18" s="72"/>
      <c r="F18" s="72"/>
      <c r="G18" s="72"/>
      <c r="H18" s="75">
        <f>+G13</f>
        <v>0</v>
      </c>
      <c r="I18" s="67"/>
    </row>
    <row r="19" spans="2:9" hidden="1" x14ac:dyDescent="0.25">
      <c r="B19" s="67"/>
      <c r="C19" s="73" t="s">
        <v>67</v>
      </c>
      <c r="D19" s="72"/>
      <c r="E19" s="72"/>
      <c r="F19" s="72"/>
      <c r="G19" s="72"/>
      <c r="H19" s="74"/>
      <c r="I19" s="67"/>
    </row>
    <row r="20" spans="2:9" x14ac:dyDescent="0.25">
      <c r="B20" s="67"/>
      <c r="C20" s="73" t="s">
        <v>66</v>
      </c>
      <c r="D20" s="72"/>
      <c r="E20" s="72"/>
      <c r="F20" s="72"/>
      <c r="G20" s="72"/>
      <c r="H20" s="71">
        <f>+H9</f>
        <v>75000</v>
      </c>
      <c r="I20" s="67"/>
    </row>
    <row r="21" spans="2:9" x14ac:dyDescent="0.25">
      <c r="B21" s="67"/>
      <c r="C21" s="70" t="s">
        <v>65</v>
      </c>
      <c r="D21" s="69"/>
      <c r="E21" s="69"/>
      <c r="F21" s="69"/>
      <c r="G21" s="69"/>
      <c r="H21" s="68">
        <f>H19+H17-H20</f>
        <v>-787.97000000000116</v>
      </c>
      <c r="I21" s="67"/>
    </row>
  </sheetData>
  <mergeCells count="5">
    <mergeCell ref="B2:I2"/>
    <mergeCell ref="H5:I5"/>
    <mergeCell ref="D6:E6"/>
    <mergeCell ref="D7:E7"/>
    <mergeCell ref="D8:E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ветеранов4</vt:lpstr>
      <vt:lpstr>Ветеранов 4</vt:lpstr>
      <vt:lpstr>Ветеранов 4 (2)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2021-03-24T06:58:42Z</dcterms:created>
  <dcterms:modified xsi:type="dcterms:W3CDTF">2021-03-24T09:18:39Z</dcterms:modified>
</cp:coreProperties>
</file>