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92784573-69C7-49AB-ADF2-0742B74EC42B}" xr6:coauthVersionLast="47" xr6:coauthVersionMax="47" xr10:uidLastSave="{00000000-0000-0000-0000-000000000000}"/>
  <bookViews>
    <workbookView xWindow="-120" yWindow="-120" windowWidth="20730" windowHeight="11310" xr2:uid="{FD8CAEF1-AF15-4F98-9E80-770E8CC7EB7C}"/>
  </bookViews>
  <sheets>
    <sheet name="ветеранов7" sheetId="3" r:id="rId1"/>
    <sheet name="Ветеранов 7" sheetId="1" r:id="rId2"/>
    <sheet name="Ветеранов 7 (2)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3" l="1"/>
  <c r="H34" i="3" s="1"/>
  <c r="K34" i="3"/>
  <c r="D35" i="3"/>
  <c r="H35" i="3" s="1"/>
  <c r="F35" i="3"/>
  <c r="F39" i="3" s="1"/>
  <c r="K35" i="3"/>
  <c r="D36" i="3"/>
  <c r="H36" i="3" s="1"/>
  <c r="K36" i="3"/>
  <c r="D37" i="3"/>
  <c r="H37" i="3"/>
  <c r="K37" i="3"/>
  <c r="D38" i="3"/>
  <c r="E38" i="3"/>
  <c r="F38" i="3"/>
  <c r="H38" i="3" s="1"/>
  <c r="G38" i="3"/>
  <c r="G39" i="3" s="1"/>
  <c r="K38" i="3"/>
  <c r="D39" i="3"/>
  <c r="E39" i="3"/>
  <c r="E63" i="3" s="1"/>
  <c r="D42" i="3"/>
  <c r="L42" i="3" s="1"/>
  <c r="G42" i="3"/>
  <c r="J42" i="3"/>
  <c r="D43" i="3"/>
  <c r="H43" i="3"/>
  <c r="J43" i="3"/>
  <c r="H44" i="3"/>
  <c r="D45" i="3"/>
  <c r="H45" i="3"/>
  <c r="J45" i="3"/>
  <c r="D46" i="3"/>
  <c r="H46" i="3" s="1"/>
  <c r="J46" i="3"/>
  <c r="K46" i="3"/>
  <c r="D47" i="3"/>
  <c r="H47" i="3" s="1"/>
  <c r="J47" i="3"/>
  <c r="D48" i="3"/>
  <c r="H48" i="3" s="1"/>
  <c r="K48" i="3"/>
  <c r="D49" i="3"/>
  <c r="D52" i="3" s="1"/>
  <c r="D67" i="3" s="1"/>
  <c r="F49" i="3"/>
  <c r="F52" i="3" s="1"/>
  <c r="J49" i="3"/>
  <c r="K49" i="3"/>
  <c r="D50" i="3"/>
  <c r="E50" i="3"/>
  <c r="F50" i="3"/>
  <c r="G50" i="3"/>
  <c r="H50" i="3"/>
  <c r="D51" i="3"/>
  <c r="H51" i="3" s="1"/>
  <c r="J51" i="3"/>
  <c r="E52" i="3"/>
  <c r="G52" i="3"/>
  <c r="G63" i="3" s="1"/>
  <c r="E60" i="3"/>
  <c r="F60" i="3"/>
  <c r="G60" i="3"/>
  <c r="H61" i="3"/>
  <c r="D65" i="3"/>
  <c r="H6" i="2"/>
  <c r="F7" i="2"/>
  <c r="F8" i="2"/>
  <c r="G8" i="2"/>
  <c r="H8" i="2"/>
  <c r="G15" i="2"/>
  <c r="H18" i="2"/>
  <c r="H20" i="2"/>
  <c r="H21" i="2" s="1"/>
  <c r="I17" i="1"/>
  <c r="H39" i="3" l="1"/>
  <c r="D60" i="3"/>
  <c r="H42" i="3"/>
  <c r="H49" i="3"/>
  <c r="K42" i="3" l="1"/>
  <c r="H52" i="3"/>
  <c r="H62" i="3" s="1"/>
  <c r="H60" i="3"/>
  <c r="H57" i="3"/>
</calcChain>
</file>

<file path=xl/sharedStrings.xml><?xml version="1.0" encoding="utf-8"?>
<sst xmlns="http://schemas.openxmlformats.org/spreadsheetml/2006/main" count="101" uniqueCount="93">
  <si>
    <t>Ремонт бетонных площадок - 224.13 т.р.</t>
  </si>
  <si>
    <t>Ремонт фасада - 60.72 т.р.</t>
  </si>
  <si>
    <t>Аварийное обслуживание - 2.02 т.р.</t>
  </si>
  <si>
    <t>Производство работ по неисправности в системе освещения общедомовых помещений - 1.17 т.р.</t>
  </si>
  <si>
    <t>Расходный материал - 0.53 т.р.</t>
  </si>
  <si>
    <t>замена замков в помещениях общего пользования - 0.05 т.р.</t>
  </si>
  <si>
    <t>Замена разбитых стекол окон, дверей, ремонт поручней, стен в подъезде,</t>
  </si>
  <si>
    <t>Ремонт тепловых пунктов и систем теплопотребления. Установка иммитаторов в ИТП - 0.07 т.р.</t>
  </si>
  <si>
    <t>Ремонт систем ГВС, ХВс, ЦО - 11.94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</si>
  <si>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300</t>
    </r>
    <r>
      <rPr>
        <b/>
        <sz val="11"/>
        <color indexed="8"/>
        <rFont val="Calibri"/>
        <family val="2"/>
        <charset val="204"/>
      </rPr>
      <t xml:space="preserve">.63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</si>
  <si>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</si>
  <si>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</si>
  <si>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</si>
  <si>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</si>
  <si>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</si>
  <si>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</si>
  <si>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</si>
  <si>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</si>
  <si>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</si>
  <si>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</si>
  <si>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7 по ул. Ветеранов с 01.01.2021г. по 31.12.2021г.</t>
  </si>
  <si>
    <t>по выполнению плана текущего ремонта жилого дома</t>
  </si>
  <si>
    <t>ОТЧЕТ</t>
  </si>
  <si>
    <t>Остаток средств на лицевом счете на 01.01.2022г.</t>
  </si>
  <si>
    <t xml:space="preserve">Израсходовано </t>
  </si>
  <si>
    <t>Перенесено со ст. "повыш.коэфф."</t>
  </si>
  <si>
    <t>начислено населению за 2021г.</t>
  </si>
  <si>
    <t>Остаток средств на лицевом счете на 01.01.2021г.</t>
  </si>
  <si>
    <t>Задолженность населения на 01.01.2022г.</t>
  </si>
  <si>
    <t>Оплачено населением за 2021г.</t>
  </si>
  <si>
    <t>Начислено за 2021г.</t>
  </si>
  <si>
    <t>Задолженность населения на 01.01.2021г.</t>
  </si>
  <si>
    <t xml:space="preserve">Итого </t>
  </si>
  <si>
    <t>замена стояков</t>
  </si>
  <si>
    <t>Ветеранов, д. 7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</si>
  <si>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</si>
  <si>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</si>
  <si>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</si>
  <si>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</si>
  <si>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</si>
  <si>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</si>
  <si>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</si>
  <si>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</si>
  <si>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 xml:space="preserve"> Отчет  о реализации капитального ремонта жилого фонда ООО "УЮТ-СЕРВИС" за 2021 год Ветеранов, д.7</t>
  </si>
  <si>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</si>
  <si>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</si>
  <si>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</si>
  <si>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ГБУЗ Сертоловская ГБ</t>
  </si>
  <si>
    <t>Поступило за управление и содержание общедомового имущества  от ГБУЗ Сертоловская ГБ - 20453,31 руб.</t>
  </si>
  <si>
    <t>арендаторы</t>
  </si>
  <si>
    <t>ГБПОУ Центр НПМР ЛО</t>
  </si>
  <si>
    <t>Поступило за управление и содержание общедомового имущества  от ГБПОУ Центр НПМР ЛО - 6817,77 руб.</t>
  </si>
  <si>
    <t>ООО "Икс-Трим", АО "Эр-телеком холдинг", ООО "СкайНэт", ПАО "Ростелеком"</t>
  </si>
  <si>
    <t xml:space="preserve">Поступило за размещение интернет оборудования 31200,00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</si>
  <si>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</si>
  <si>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</si>
  <si>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</si>
  <si>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</si>
  <si>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</si>
  <si>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</si>
  <si>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</si>
  <si>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коээфициент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</si>
  <si>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</si>
  <si>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</si>
  <si>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</si>
  <si>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</si>
  <si>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</si>
  <si>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</si>
  <si>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</si>
  <si>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</si>
  <si>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</si>
  <si>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Н/2011-102 от 01.07.2011г.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</si>
  <si>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</si>
  <si>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</si>
  <si>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</si>
  <si>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</si>
  <si>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</si>
  <si>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</si>
  <si>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</si>
  <si>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</si>
  <si>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</si>
  <si>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</si>
  <si>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</si>
  <si>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</si>
  <si>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</si>
  <si>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"ТСК", ООО "Сертоловскей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</si>
  <si>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</si>
  <si>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</si>
  <si>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</si>
  <si>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7  по ул. Ветеранов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</si>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</sst>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2" fillId="2" borderId="0" xfId="0" applyFont="1" applyFill="1"/>
    <xf numFmtId="0" fontId="3" fillId="0" borderId="0" xfId="0" applyFont="1"/>
    <xf numFmtId="4" fontId="0" fillId="0" borderId="0" xfId="0" applyNumberFormat="1" applyAlignment="1">
      <alignment horizontal="center"/>
    </xf>
    <xf numFmtId="0" fontId="5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1" fillId="0" borderId="1" xfId="0" applyNumberFormat="1" applyFont="1" applyBorder="1"/>
    <xf numFmtId="0" fontId="0" fillId="0" borderId="2" xfId="0" applyBorder="1"/>
    <xf numFmtId="0" fontId="0" fillId="0" borderId="3" xfId="0" applyBorder="1"/>
    <xf numFmtId="4" fontId="0" fillId="0" borderId="1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2" fontId="0" fillId="0" borderId="1" xfId="0" applyNumberFormat="1" applyBorder="1"/>
    <xf numFmtId="4" fontId="0" fillId="0" borderId="1" xfId="0" applyNumberFormat="1" applyBorder="1"/>
    <xf numFmtId="0" fontId="1" fillId="0" borderId="1" xfId="0" applyFont="1" applyBorder="1"/>
    <xf numFmtId="0" fontId="0" fillId="0" borderId="1" xfId="0" applyBorder="1"/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8" fillId="0" borderId="0" xfId="1"/>
    <xf numFmtId="0" fontId="9" fillId="0" borderId="0" xfId="1" applyFont="1"/>
    <xf numFmtId="4" fontId="9" fillId="0" borderId="0" xfId="1" applyNumberFormat="1" applyFont="1"/>
    <xf numFmtId="2" fontId="9" fillId="0" borderId="0" xfId="1" applyNumberFormat="1" applyFont="1"/>
    <xf numFmtId="4" fontId="10" fillId="0" borderId="0" xfId="1" applyNumberFormat="1" applyFont="1"/>
    <xf numFmtId="4" fontId="11" fillId="0" borderId="0" xfId="1" applyNumberFormat="1" applyFont="1"/>
    <xf numFmtId="0" fontId="12" fillId="0" borderId="0" xfId="1" applyFont="1"/>
    <xf numFmtId="0" fontId="9" fillId="0" borderId="13" xfId="1" applyFont="1" applyBorder="1" applyAlignment="1">
      <alignment horizontal="center" wrapText="1"/>
    </xf>
    <xf numFmtId="0" fontId="8" fillId="0" borderId="14" xfId="1" applyBorder="1" applyAlignment="1">
      <alignment horizontal="center" vertical="top" wrapText="1"/>
    </xf>
    <xf numFmtId="0" fontId="8" fillId="0" borderId="15" xfId="1" applyBorder="1" applyAlignment="1">
      <alignment horizontal="center" vertical="top" wrapText="1"/>
    </xf>
    <xf numFmtId="4" fontId="9" fillId="0" borderId="16" xfId="1" applyNumberFormat="1" applyFont="1" applyBorder="1" applyAlignment="1">
      <alignment horizontal="center" vertical="top" wrapText="1"/>
    </xf>
    <xf numFmtId="0" fontId="13" fillId="0" borderId="16" xfId="1" applyFont="1" applyBorder="1" applyAlignment="1">
      <alignment horizontal="center" wrapText="1"/>
    </xf>
    <xf numFmtId="0" fontId="9" fillId="0" borderId="13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4" fontId="9" fillId="0" borderId="1" xfId="1" applyNumberFormat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top" wrapText="1"/>
    </xf>
    <xf numFmtId="2" fontId="8" fillId="0" borderId="0" xfId="1" applyNumberFormat="1"/>
    <xf numFmtId="0" fontId="13" fillId="0" borderId="18" xfId="1" applyFont="1" applyBorder="1" applyAlignment="1">
      <alignment horizontal="center" vertical="top" wrapText="1"/>
    </xf>
    <xf numFmtId="4" fontId="13" fillId="0" borderId="18" xfId="1" applyNumberFormat="1" applyFont="1" applyBorder="1" applyAlignment="1">
      <alignment vertical="top" wrapText="1"/>
    </xf>
    <xf numFmtId="0" fontId="13" fillId="0" borderId="19" xfId="1" applyFont="1" applyBorder="1" applyAlignment="1">
      <alignment horizontal="center" vertical="top" wrapText="1"/>
    </xf>
    <xf numFmtId="0" fontId="9" fillId="0" borderId="18" xfId="1" applyFont="1" applyBorder="1" applyAlignment="1">
      <alignment horizontal="center" vertical="top" wrapText="1"/>
    </xf>
    <xf numFmtId="4" fontId="14" fillId="0" borderId="14" xfId="1" applyNumberFormat="1" applyFont="1" applyBorder="1" applyAlignment="1">
      <alignment vertical="top" wrapText="1"/>
    </xf>
    <xf numFmtId="4" fontId="9" fillId="0" borderId="18" xfId="1" applyNumberFormat="1" applyFont="1" applyBorder="1" applyAlignment="1">
      <alignment vertical="top" wrapText="1"/>
    </xf>
    <xf numFmtId="4" fontId="9" fillId="0" borderId="18" xfId="1" applyNumberFormat="1" applyFont="1" applyBorder="1" applyAlignment="1">
      <alignment horizontal="right" vertical="top" wrapText="1"/>
    </xf>
    <xf numFmtId="0" fontId="13" fillId="4" borderId="19" xfId="1" applyFont="1" applyFill="1" applyBorder="1" applyAlignment="1">
      <alignment horizontal="center" vertical="top" wrapText="1"/>
    </xf>
    <xf numFmtId="0" fontId="10" fillId="0" borderId="18" xfId="1" applyFont="1" applyBorder="1" applyAlignment="1">
      <alignment horizontal="center" vertical="top" wrapText="1"/>
    </xf>
    <xf numFmtId="0" fontId="15" fillId="4" borderId="19" xfId="1" applyFont="1" applyFill="1" applyBorder="1" applyAlignment="1">
      <alignment horizontal="center" vertical="top" wrapText="1"/>
    </xf>
    <xf numFmtId="4" fontId="14" fillId="0" borderId="18" xfId="1" applyNumberFormat="1" applyFont="1" applyBorder="1" applyAlignment="1">
      <alignment vertical="top" wrapText="1"/>
    </xf>
    <xf numFmtId="4" fontId="16" fillId="0" borderId="18" xfId="1" applyNumberFormat="1" applyFont="1" applyBorder="1" applyAlignment="1">
      <alignment horizontal="right" vertical="top" wrapText="1"/>
    </xf>
    <xf numFmtId="0" fontId="15" fillId="0" borderId="19" xfId="1" applyFont="1" applyBorder="1" applyAlignment="1">
      <alignment horizontal="center" vertical="top" wrapText="1"/>
    </xf>
    <xf numFmtId="4" fontId="8" fillId="0" borderId="0" xfId="1" applyNumberFormat="1"/>
    <xf numFmtId="0" fontId="17" fillId="0" borderId="19" xfId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4" fontId="9" fillId="0" borderId="14" xfId="1" applyNumberFormat="1" applyFont="1" applyBorder="1" applyAlignment="1">
      <alignment horizontal="right" vertical="top" wrapText="1"/>
    </xf>
    <xf numFmtId="0" fontId="15" fillId="4" borderId="13" xfId="1" applyFont="1" applyFill="1" applyBorder="1" applyAlignment="1">
      <alignment horizontal="center" vertical="top" wrapText="1"/>
    </xf>
    <xf numFmtId="0" fontId="15" fillId="0" borderId="18" xfId="1" applyFont="1" applyBorder="1" applyAlignment="1">
      <alignment horizontal="center" vertical="top" wrapText="1"/>
    </xf>
    <xf numFmtId="0" fontId="18" fillId="0" borderId="14" xfId="1" applyFont="1" applyBorder="1" applyAlignment="1">
      <alignment horizontal="center" vertical="top" wrapText="1"/>
    </xf>
    <xf numFmtId="0" fontId="15" fillId="0" borderId="14" xfId="1" applyFont="1" applyBorder="1" applyAlignment="1">
      <alignment horizontal="center" vertical="top" wrapText="1"/>
    </xf>
    <xf numFmtId="0" fontId="13" fillId="0" borderId="15" xfId="1" applyFont="1" applyBorder="1" applyAlignment="1">
      <alignment horizontal="center" vertical="top" wrapText="1"/>
    </xf>
    <xf numFmtId="0" fontId="19" fillId="0" borderId="13" xfId="1" applyFont="1" applyBorder="1" applyAlignment="1">
      <alignment horizontal="center" vertical="top" wrapText="1"/>
    </xf>
    <xf numFmtId="0" fontId="10" fillId="0" borderId="19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top" wrapText="1"/>
    </xf>
    <xf numFmtId="0" fontId="15" fillId="0" borderId="15" xfId="1" applyFont="1" applyBorder="1" applyAlignment="1">
      <alignment horizontal="center" vertical="top" wrapText="1"/>
    </xf>
    <xf numFmtId="0" fontId="15" fillId="0" borderId="16" xfId="1" applyFont="1" applyBorder="1" applyAlignment="1">
      <alignment horizontal="center" vertical="top" wrapText="1"/>
    </xf>
    <xf numFmtId="0" fontId="15" fillId="0" borderId="13" xfId="1" applyFont="1" applyBorder="1" applyAlignment="1">
      <alignment horizontal="center" vertical="top" wrapText="1"/>
    </xf>
    <xf numFmtId="0" fontId="20" fillId="0" borderId="23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2" fillId="0" borderId="0" xfId="1" applyFont="1"/>
    <xf numFmtId="0" fontId="13" fillId="0" borderId="0" xfId="1" applyFont="1" applyAlignment="1">
      <alignment horizontal="center"/>
    </xf>
    <xf numFmtId="0" fontId="22" fillId="0" borderId="14" xfId="1" applyFont="1" applyBorder="1"/>
    <xf numFmtId="0" fontId="22" fillId="0" borderId="15" xfId="1" applyFont="1" applyBorder="1"/>
    <xf numFmtId="0" fontId="13" fillId="0" borderId="15" xfId="1" applyFont="1" applyBorder="1" applyAlignment="1">
      <alignment horizontal="center"/>
    </xf>
    <xf numFmtId="0" fontId="13" fillId="0" borderId="16" xfId="1" applyFont="1" applyBorder="1" applyAlignment="1">
      <alignment horizontal="center"/>
    </xf>
  </cellXfs>
  <cellStyles count="2">
    <cellStyle name="Обычный" xfId="0" builtinId="0"/>
    <cellStyle name="Обычный 2" xfId="1" xr:uid="{0D661A7D-6830-4F95-8F36-5BC05AD66F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F7D6F-4237-4B05-803D-3CBBA1BA0C5A}">
  <dimension ref="A1:L67"/>
  <sheetViews>
    <sheetView tabSelected="1" topLeftCell="C30" zoomScaleNormal="100" workbookViewId="0">
      <selection activeCell="I54" sqref="I54"/>
    </sheetView>
  </sheetViews>
  <sheetFormatPr defaultRowHeight="12.75" x14ac:dyDescent="0.2"/>
  <cols>
    <col min="1" max="1" width="3.42578125" style="47" hidden="1" customWidth="1"/>
    <col min="2" max="2" width="9.140625" style="47" hidden="1" customWidth="1"/>
    <col min="3" max="3" width="27.140625" style="48" customWidth="1"/>
    <col min="4" max="4" width="13" style="48" customWidth="1"/>
    <col min="5" max="5" width="11.85546875" style="48" customWidth="1"/>
    <col min="6" max="6" width="13.28515625" style="48" customWidth="1"/>
    <col min="7" max="7" width="11.85546875" style="48" customWidth="1"/>
    <col min="8" max="8" width="13" style="48" customWidth="1"/>
    <col min="9" max="9" width="23.5703125" style="48" customWidth="1"/>
    <col min="10" max="10" width="10.140625" style="47" hidden="1" customWidth="1"/>
    <col min="11" max="12" width="9.5703125" style="47" hidden="1" customWidth="1"/>
    <col min="13" max="16384" width="9.140625" style="47"/>
  </cols>
  <sheetData>
    <row r="1" spans="3:9" ht="12.75" hidden="1" customHeight="1" x14ac:dyDescent="0.2">
      <c r="C1" s="97"/>
      <c r="D1" s="97"/>
      <c r="E1" s="97"/>
      <c r="F1" s="97"/>
      <c r="G1" s="97"/>
      <c r="H1" s="97"/>
      <c r="I1" s="97"/>
    </row>
    <row r="2" spans="3:9" ht="13.5" hidden="1" customHeight="1" thickBot="1" x14ac:dyDescent="0.25">
      <c r="C2" s="97"/>
      <c r="D2" s="97"/>
      <c r="E2" s="97" t="s">
        <v>92</v>
      </c>
      <c r="F2" s="97"/>
      <c r="G2" s="97"/>
      <c r="H2" s="97"/>
      <c r="I2" s="97"/>
    </row>
    <row r="3" spans="3:9" ht="13.5" hidden="1" customHeight="1" thickBot="1" x14ac:dyDescent="0.25">
      <c r="C3" s="102"/>
      <c r="D3" s="101"/>
      <c r="E3" s="100"/>
      <c r="F3" s="100"/>
      <c r="G3" s="100"/>
      <c r="H3" s="100"/>
      <c r="I3" s="99"/>
    </row>
    <row r="4" spans="3:9" ht="12.75" hidden="1" customHeight="1" x14ac:dyDescent="0.2">
      <c r="C4" s="98"/>
      <c r="D4" s="98"/>
      <c r="E4" s="97"/>
      <c r="F4" s="97"/>
      <c r="G4" s="97"/>
      <c r="H4" s="97"/>
      <c r="I4" s="97"/>
    </row>
    <row r="5" spans="3:9" ht="12.75" customHeight="1" x14ac:dyDescent="0.2">
      <c r="C5" s="98"/>
      <c r="D5" s="98"/>
      <c r="E5" s="97"/>
      <c r="F5" s="97"/>
      <c r="G5" s="97"/>
      <c r="H5" s="97"/>
      <c r="I5" s="97"/>
    </row>
    <row r="6" spans="3:9" ht="12.75" customHeight="1" x14ac:dyDescent="0.2">
      <c r="C6" s="98"/>
      <c r="D6" s="98"/>
      <c r="E6" s="97"/>
      <c r="F6" s="97"/>
      <c r="G6" s="97"/>
      <c r="H6" s="97"/>
      <c r="I6" s="97"/>
    </row>
    <row r="7" spans="3:9" ht="12.75" customHeight="1" x14ac:dyDescent="0.2">
      <c r="C7" s="98"/>
      <c r="D7" s="98"/>
      <c r="E7" s="97"/>
      <c r="F7" s="97"/>
      <c r="G7" s="97"/>
      <c r="H7" s="97"/>
      <c r="I7" s="97"/>
    </row>
    <row r="8" spans="3:9" ht="12.75" customHeight="1" x14ac:dyDescent="0.2">
      <c r="C8" s="98"/>
      <c r="D8" s="98"/>
      <c r="E8" s="97"/>
      <c r="F8" s="97"/>
      <c r="G8" s="97"/>
      <c r="H8" s="97"/>
      <c r="I8" s="97"/>
    </row>
    <row r="9" spans="3:9" ht="12.75" customHeight="1" x14ac:dyDescent="0.2">
      <c r="C9" s="98"/>
      <c r="D9" s="98"/>
      <c r="E9" s="97"/>
      <c r="F9" s="97"/>
      <c r="G9" s="97"/>
      <c r="H9" s="97"/>
      <c r="I9" s="97"/>
    </row>
    <row r="10" spans="3:9" ht="12.75" customHeight="1" x14ac:dyDescent="0.2">
      <c r="C10" s="98"/>
      <c r="D10" s="98"/>
      <c r="E10" s="97"/>
      <c r="F10" s="97"/>
      <c r="G10" s="97"/>
      <c r="H10" s="97"/>
      <c r="I10" s="97"/>
    </row>
    <row r="11" spans="3:9" ht="12.75" customHeight="1" x14ac:dyDescent="0.2">
      <c r="C11" s="98"/>
      <c r="D11" s="98"/>
      <c r="E11" s="97"/>
      <c r="F11" s="97"/>
      <c r="G11" s="97"/>
      <c r="H11" s="97"/>
      <c r="I11" s="97"/>
    </row>
    <row r="12" spans="3:9" ht="12.75" customHeight="1" x14ac:dyDescent="0.2">
      <c r="C12" s="98"/>
      <c r="D12" s="98"/>
      <c r="E12" s="97"/>
      <c r="F12" s="97"/>
      <c r="G12" s="97"/>
      <c r="H12" s="97"/>
      <c r="I12" s="97"/>
    </row>
    <row r="13" spans="3:9" ht="12.75" customHeight="1" x14ac:dyDescent="0.2">
      <c r="C13" s="98"/>
      <c r="D13" s="98"/>
      <c r="E13" s="97"/>
      <c r="F13" s="97"/>
      <c r="G13" s="97"/>
      <c r="H13" s="97"/>
      <c r="I13" s="97"/>
    </row>
    <row r="14" spans="3:9" ht="12.75" customHeight="1" x14ac:dyDescent="0.2">
      <c r="C14" s="98"/>
      <c r="D14" s="98"/>
      <c r="E14" s="97"/>
      <c r="F14" s="97"/>
      <c r="G14" s="97"/>
      <c r="H14" s="97"/>
      <c r="I14" s="97"/>
    </row>
    <row r="15" spans="3:9" ht="12.75" customHeight="1" x14ac:dyDescent="0.2">
      <c r="C15" s="98"/>
      <c r="D15" s="98"/>
      <c r="E15" s="97"/>
      <c r="F15" s="97"/>
      <c r="G15" s="97"/>
      <c r="H15" s="97"/>
      <c r="I15" s="97"/>
    </row>
    <row r="16" spans="3:9" ht="12.75" customHeight="1" x14ac:dyDescent="0.2">
      <c r="C16" s="98"/>
      <c r="D16" s="98"/>
      <c r="E16" s="97"/>
      <c r="F16" s="97"/>
      <c r="G16" s="97"/>
      <c r="H16" s="97"/>
      <c r="I16" s="97"/>
    </row>
    <row r="17" spans="3:9" ht="12.75" customHeight="1" x14ac:dyDescent="0.2">
      <c r="C17" s="98"/>
      <c r="D17" s="98"/>
      <c r="E17" s="97"/>
      <c r="F17" s="97"/>
      <c r="G17" s="97"/>
      <c r="H17" s="97"/>
      <c r="I17" s="97"/>
    </row>
    <row r="18" spans="3:9" ht="12.75" customHeight="1" x14ac:dyDescent="0.2">
      <c r="C18" s="98"/>
      <c r="D18" s="98"/>
      <c r="E18" s="97"/>
      <c r="F18" s="97"/>
      <c r="G18" s="97"/>
      <c r="H18" s="97"/>
      <c r="I18" s="97"/>
    </row>
    <row r="19" spans="3:9" ht="12.75" customHeight="1" x14ac:dyDescent="0.2">
      <c r="C19" s="98"/>
      <c r="D19" s="98"/>
      <c r="E19" s="97"/>
      <c r="F19" s="97"/>
      <c r="G19" s="97"/>
      <c r="H19" s="97"/>
      <c r="I19" s="97"/>
    </row>
    <row r="20" spans="3:9" ht="12.75" customHeight="1" x14ac:dyDescent="0.2">
      <c r="C20" s="98"/>
      <c r="D20" s="98"/>
      <c r="E20" s="97"/>
      <c r="F20" s="97"/>
      <c r="G20" s="97"/>
      <c r="H20" s="97"/>
      <c r="I20" s="97"/>
    </row>
    <row r="21" spans="3:9" ht="12.75" customHeight="1" x14ac:dyDescent="0.2">
      <c r="C21" s="98"/>
      <c r="D21" s="98"/>
      <c r="E21" s="97"/>
      <c r="F21" s="97"/>
      <c r="G21" s="97"/>
      <c r="H21" s="97"/>
      <c r="I21" s="97"/>
    </row>
    <row r="22" spans="3:9" ht="12.75" customHeight="1" x14ac:dyDescent="0.2">
      <c r="C22" s="98"/>
      <c r="D22" s="98"/>
      <c r="E22" s="97"/>
      <c r="F22" s="97"/>
      <c r="G22" s="97"/>
      <c r="H22" s="97"/>
      <c r="I22" s="97"/>
    </row>
    <row r="23" spans="3:9" ht="12.75" customHeight="1" x14ac:dyDescent="0.2">
      <c r="C23" s="98"/>
      <c r="D23" s="98"/>
      <c r="E23" s="97"/>
      <c r="F23" s="97"/>
      <c r="G23" s="97"/>
      <c r="H23" s="97"/>
      <c r="I23" s="97"/>
    </row>
    <row r="24" spans="3:9" ht="12.75" customHeight="1" x14ac:dyDescent="0.2">
      <c r="C24" s="98"/>
      <c r="D24" s="98"/>
      <c r="E24" s="97"/>
      <c r="F24" s="97"/>
      <c r="G24" s="97"/>
      <c r="H24" s="97"/>
      <c r="I24" s="97"/>
    </row>
    <row r="25" spans="3:9" ht="12.75" customHeight="1" x14ac:dyDescent="0.2">
      <c r="C25" s="98"/>
      <c r="D25" s="98"/>
      <c r="E25" s="97"/>
      <c r="F25" s="97"/>
      <c r="G25" s="97"/>
      <c r="H25" s="97"/>
      <c r="I25" s="97"/>
    </row>
    <row r="26" spans="3:9" ht="12.75" customHeight="1" x14ac:dyDescent="0.2">
      <c r="C26" s="98"/>
      <c r="D26" s="98"/>
      <c r="E26" s="97"/>
      <c r="F26" s="97"/>
      <c r="G26" s="97"/>
      <c r="H26" s="97"/>
      <c r="I26" s="97"/>
    </row>
    <row r="27" spans="3:9" ht="12.75" customHeight="1" x14ac:dyDescent="0.2">
      <c r="C27" s="98"/>
      <c r="D27" s="98"/>
      <c r="E27" s="97"/>
      <c r="F27" s="97"/>
      <c r="G27" s="97"/>
      <c r="H27" s="97"/>
      <c r="I27" s="97"/>
    </row>
    <row r="28" spans="3:9" ht="14.25" x14ac:dyDescent="0.2">
      <c r="C28" s="96" t="s">
        <v>91</v>
      </c>
      <c r="D28" s="96"/>
      <c r="E28" s="96"/>
      <c r="F28" s="96"/>
      <c r="G28" s="96"/>
      <c r="H28" s="96"/>
      <c r="I28" s="96"/>
    </row>
    <row r="29" spans="3:9" x14ac:dyDescent="0.2">
      <c r="C29" s="95" t="s">
        <v>90</v>
      </c>
      <c r="D29" s="95"/>
      <c r="E29" s="95"/>
      <c r="F29" s="95"/>
      <c r="G29" s="95"/>
      <c r="H29" s="95"/>
      <c r="I29" s="95"/>
    </row>
    <row r="30" spans="3:9" x14ac:dyDescent="0.2">
      <c r="C30" s="95" t="s">
        <v>89</v>
      </c>
      <c r="D30" s="95"/>
      <c r="E30" s="95"/>
      <c r="F30" s="95"/>
      <c r="G30" s="95"/>
      <c r="H30" s="95"/>
      <c r="I30" s="95"/>
    </row>
    <row r="31" spans="3:9" ht="6" customHeight="1" thickBot="1" x14ac:dyDescent="0.25">
      <c r="C31" s="94"/>
      <c r="D31" s="94"/>
      <c r="E31" s="94"/>
      <c r="F31" s="94"/>
      <c r="G31" s="94"/>
      <c r="H31" s="94"/>
      <c r="I31" s="94"/>
    </row>
    <row r="32" spans="3:9" ht="48" customHeight="1" thickBot="1" x14ac:dyDescent="0.25">
      <c r="C32" s="93" t="s">
        <v>79</v>
      </c>
      <c r="D32" s="84" t="s">
        <v>78</v>
      </c>
      <c r="E32" s="83" t="s">
        <v>77</v>
      </c>
      <c r="F32" s="83" t="s">
        <v>76</v>
      </c>
      <c r="G32" s="83" t="s">
        <v>75</v>
      </c>
      <c r="H32" s="83" t="s">
        <v>74</v>
      </c>
      <c r="I32" s="84" t="s">
        <v>88</v>
      </c>
    </row>
    <row r="33" spans="3:12" ht="13.5" customHeight="1" thickBot="1" x14ac:dyDescent="0.25">
      <c r="C33" s="92" t="s">
        <v>87</v>
      </c>
      <c r="D33" s="91"/>
      <c r="E33" s="91"/>
      <c r="F33" s="91"/>
      <c r="G33" s="91"/>
      <c r="H33" s="91"/>
      <c r="I33" s="90"/>
    </row>
    <row r="34" spans="3:12" ht="13.5" customHeight="1" thickBot="1" x14ac:dyDescent="0.25">
      <c r="C34" s="71" t="s">
        <v>86</v>
      </c>
      <c r="D34" s="70">
        <f>42211.62-41634.31</f>
        <v>577.31000000000495</v>
      </c>
      <c r="E34" s="74"/>
      <c r="F34" s="74">
        <v>577.4</v>
      </c>
      <c r="G34" s="74"/>
      <c r="H34" s="74">
        <f>+D34+E34-F34</f>
        <v>-8.9999999995029611E-2</v>
      </c>
      <c r="I34" s="89" t="s">
        <v>85</v>
      </c>
      <c r="K34" s="63">
        <f>117820.23-37.41</f>
        <v>117782.81999999999</v>
      </c>
    </row>
    <row r="35" spans="3:12" ht="13.5" customHeight="1" thickBot="1" x14ac:dyDescent="0.25">
      <c r="C35" s="71" t="s">
        <v>84</v>
      </c>
      <c r="D35" s="70">
        <f>38268.96-22050.15-2192.29-13583.35</f>
        <v>443.16999999999643</v>
      </c>
      <c r="E35" s="69"/>
      <c r="F35" s="69">
        <f>237.97+214.47</f>
        <v>452.44</v>
      </c>
      <c r="G35" s="74"/>
      <c r="H35" s="74">
        <f>+D35+E35-F35</f>
        <v>-9.2700000000035629</v>
      </c>
      <c r="I35" s="88"/>
      <c r="K35" s="47">
        <f>40075.49-8762.17</f>
        <v>31313.32</v>
      </c>
    </row>
    <row r="36" spans="3:12" ht="13.5" customHeight="1" thickBot="1" x14ac:dyDescent="0.25">
      <c r="C36" s="71" t="s">
        <v>83</v>
      </c>
      <c r="D36" s="70">
        <f>16414.45-16193.3</f>
        <v>221.15000000000146</v>
      </c>
      <c r="E36" s="69"/>
      <c r="F36" s="69">
        <v>221.19</v>
      </c>
      <c r="G36" s="74"/>
      <c r="H36" s="74">
        <f>+D36+E36-F36</f>
        <v>-3.9999999998542535E-2</v>
      </c>
      <c r="I36" s="88"/>
      <c r="K36" s="47">
        <f>18394.94-576.17</f>
        <v>17818.77</v>
      </c>
    </row>
    <row r="37" spans="3:12" ht="13.5" customHeight="1" thickBot="1" x14ac:dyDescent="0.25">
      <c r="C37" s="71" t="s">
        <v>82</v>
      </c>
      <c r="D37" s="70">
        <f>12085.03-11925.97</f>
        <v>159.06000000000131</v>
      </c>
      <c r="E37" s="69"/>
      <c r="F37" s="69">
        <v>159.08000000000001</v>
      </c>
      <c r="G37" s="74"/>
      <c r="H37" s="74">
        <f>+D37+E37-F37</f>
        <v>-1.9999999998702833E-2</v>
      </c>
      <c r="I37" s="88"/>
      <c r="K37" s="47">
        <f>5554.59-1173.36+6471.31-197.67</f>
        <v>10654.87</v>
      </c>
    </row>
    <row r="38" spans="3:12" ht="13.5" customHeight="1" thickBot="1" x14ac:dyDescent="0.25">
      <c r="C38" s="66" t="s">
        <v>81</v>
      </c>
      <c r="D38" s="70">
        <f>527.9-115.83-38.08-153.68</f>
        <v>220.31</v>
      </c>
      <c r="E38" s="69">
        <f>1189.48+116.21-0.42</f>
        <v>1305.27</v>
      </c>
      <c r="F38" s="69">
        <f>1174.34+228.21-331.32+1527.73</f>
        <v>2598.96</v>
      </c>
      <c r="G38" s="74">
        <f>+E38</f>
        <v>1305.27</v>
      </c>
      <c r="H38" s="74">
        <f>+D38+E38-F38</f>
        <v>-1073.3800000000001</v>
      </c>
      <c r="I38" s="87"/>
      <c r="K38" s="47">
        <f>380.61-1.22+863.45-0.28</f>
        <v>1242.5600000000002</v>
      </c>
    </row>
    <row r="39" spans="3:12" ht="13.5" customHeight="1" thickBot="1" x14ac:dyDescent="0.25">
      <c r="C39" s="66" t="s">
        <v>56</v>
      </c>
      <c r="D39" s="65">
        <f>SUM(D34:D38)</f>
        <v>1621.0000000000041</v>
      </c>
      <c r="E39" s="65">
        <f>SUM(E34:E38)</f>
        <v>1305.27</v>
      </c>
      <c r="F39" s="65">
        <f>SUM(F34:F38)</f>
        <v>4009.0699999999997</v>
      </c>
      <c r="G39" s="65">
        <f>SUM(G34:G38)</f>
        <v>1305.27</v>
      </c>
      <c r="H39" s="65">
        <f>SUM(H34:H38)</f>
        <v>-1082.7999999999959</v>
      </c>
      <c r="I39" s="86"/>
    </row>
    <row r="40" spans="3:12" ht="13.5" customHeight="1" thickBot="1" x14ac:dyDescent="0.25">
      <c r="C40" s="85" t="s">
        <v>80</v>
      </c>
      <c r="D40" s="85"/>
      <c r="E40" s="85"/>
      <c r="F40" s="85"/>
      <c r="G40" s="85"/>
      <c r="H40" s="85"/>
      <c r="I40" s="85"/>
    </row>
    <row r="41" spans="3:12" ht="51" customHeight="1" thickBot="1" x14ac:dyDescent="0.25">
      <c r="C41" s="76" t="s">
        <v>79</v>
      </c>
      <c r="D41" s="84" t="s">
        <v>78</v>
      </c>
      <c r="E41" s="83" t="s">
        <v>77</v>
      </c>
      <c r="F41" s="83" t="s">
        <v>76</v>
      </c>
      <c r="G41" s="83" t="s">
        <v>75</v>
      </c>
      <c r="H41" s="83" t="s">
        <v>74</v>
      </c>
      <c r="I41" s="82" t="s">
        <v>73</v>
      </c>
    </row>
    <row r="42" spans="3:12" ht="19.5" customHeight="1" thickBot="1" x14ac:dyDescent="0.25">
      <c r="C42" s="81" t="s">
        <v>72</v>
      </c>
      <c r="D42" s="80">
        <f>130153.69-39371.16-1167.29</f>
        <v>89615.24</v>
      </c>
      <c r="E42" s="68">
        <v>783988</v>
      </c>
      <c r="F42" s="68">
        <v>787571.48</v>
      </c>
      <c r="G42" s="68">
        <f>+E42</f>
        <v>783988</v>
      </c>
      <c r="H42" s="68">
        <f>+D42+E42-F42</f>
        <v>86031.760000000009</v>
      </c>
      <c r="I42" s="79" t="s">
        <v>71</v>
      </c>
      <c r="J42" s="47">
        <f>43357.08-136.5+416.23-0.16+1551.51-0.48+94.39-0.03+936.94-6.2-0.01</f>
        <v>46212.770000000004</v>
      </c>
      <c r="K42" s="77">
        <f>+H42-J42</f>
        <v>39818.990000000005</v>
      </c>
      <c r="L42" s="77">
        <f>31506.3-142.06+2.14+8.02-0.01+0.46+4.81-0.01-D42</f>
        <v>-58235.590000000004</v>
      </c>
    </row>
    <row r="43" spans="3:12" ht="21" customHeight="1" thickBot="1" x14ac:dyDescent="0.25">
      <c r="C43" s="71" t="s">
        <v>70</v>
      </c>
      <c r="D43" s="70">
        <f>27239.94-8054.5-246.78</f>
        <v>18938.66</v>
      </c>
      <c r="E43" s="74">
        <v>165737.60000000001</v>
      </c>
      <c r="F43" s="74">
        <v>166487.82</v>
      </c>
      <c r="G43" s="68">
        <v>300630.48</v>
      </c>
      <c r="H43" s="68">
        <f>+D43+E43-F43</f>
        <v>18188.440000000002</v>
      </c>
      <c r="I43" s="78"/>
      <c r="J43" s="77">
        <f>8696.21-26.64</f>
        <v>8669.57</v>
      </c>
    </row>
    <row r="44" spans="3:12" ht="13.5" customHeight="1" thickBot="1" x14ac:dyDescent="0.25">
      <c r="C44" s="76" t="s">
        <v>69</v>
      </c>
      <c r="D44" s="75">
        <v>0</v>
      </c>
      <c r="E44" s="74"/>
      <c r="F44" s="74"/>
      <c r="G44" s="68">
        <v>338300</v>
      </c>
      <c r="H44" s="68">
        <f>+D44+E44-F44</f>
        <v>0</v>
      </c>
      <c r="I44" s="72"/>
    </row>
    <row r="45" spans="3:12" ht="12.75" customHeight="1" thickBot="1" x14ac:dyDescent="0.25">
      <c r="C45" s="71" t="s">
        <v>68</v>
      </c>
      <c r="D45" s="70">
        <f>14036.89-4361.67-132.54</f>
        <v>9542.6799999999985</v>
      </c>
      <c r="E45" s="74">
        <v>89013.759999999995</v>
      </c>
      <c r="F45" s="74">
        <v>88862.5</v>
      </c>
      <c r="G45" s="68">
        <v>37650.9</v>
      </c>
      <c r="H45" s="68">
        <f>+D45+E45-F45</f>
        <v>9693.9399999999878</v>
      </c>
      <c r="I45" s="72" t="s">
        <v>67</v>
      </c>
      <c r="J45" s="47">
        <f>5190.22-20.63</f>
        <v>5169.59</v>
      </c>
    </row>
    <row r="46" spans="3:12" ht="26.25" customHeight="1" thickBot="1" x14ac:dyDescent="0.25">
      <c r="C46" s="71" t="s">
        <v>66</v>
      </c>
      <c r="D46" s="70">
        <f>6040.12-5900.39</f>
        <v>139.72999999999956</v>
      </c>
      <c r="E46" s="74"/>
      <c r="F46" s="74">
        <v>142.9</v>
      </c>
      <c r="G46" s="68"/>
      <c r="H46" s="68">
        <f>+D46+E46-F46</f>
        <v>-3.1700000000004422</v>
      </c>
      <c r="I46" s="67" t="s">
        <v>65</v>
      </c>
      <c r="J46" s="47">
        <f>8186.35-29.46+29.14</f>
        <v>8186.0300000000007</v>
      </c>
      <c r="K46" s="47">
        <f>1104.5-3.13+8358.15-25.83</f>
        <v>9433.69</v>
      </c>
    </row>
    <row r="47" spans="3:12" ht="13.5" customHeight="1" thickBot="1" x14ac:dyDescent="0.25">
      <c r="C47" s="71" t="s">
        <v>64</v>
      </c>
      <c r="D47" s="70">
        <f>1730.64-522.94-15.53</f>
        <v>1192.17</v>
      </c>
      <c r="E47" s="69">
        <v>10428.959999999999</v>
      </c>
      <c r="F47" s="69">
        <v>10476.59</v>
      </c>
      <c r="G47" s="68">
        <v>25444.799999999999</v>
      </c>
      <c r="H47" s="68">
        <f>+D47+E47-F47</f>
        <v>1144.5399999999991</v>
      </c>
      <c r="I47" s="67" t="s">
        <v>63</v>
      </c>
      <c r="J47" s="47">
        <f>575.68-1.78</f>
        <v>573.9</v>
      </c>
    </row>
    <row r="48" spans="3:12" ht="13.5" customHeight="1" thickBot="1" x14ac:dyDescent="0.25">
      <c r="C48" s="73" t="s">
        <v>62</v>
      </c>
      <c r="D48" s="70">
        <f>4606.31-6097.25</f>
        <v>-1490.9399999999996</v>
      </c>
      <c r="E48" s="69"/>
      <c r="F48" s="69">
        <v>83.99</v>
      </c>
      <c r="G48" s="68"/>
      <c r="H48" s="68">
        <f>+D48+E48-F48</f>
        <v>-1574.9299999999996</v>
      </c>
      <c r="I48" s="72"/>
      <c r="K48" s="47">
        <f>8436.43-2516.04</f>
        <v>5920.39</v>
      </c>
    </row>
    <row r="49" spans="3:12" ht="13.5" customHeight="1" thickBot="1" x14ac:dyDescent="0.25">
      <c r="C49" s="71" t="s">
        <v>61</v>
      </c>
      <c r="D49" s="70">
        <f>25200.75-17182.33-9045.29</f>
        <v>-1026.8700000000026</v>
      </c>
      <c r="E49" s="69"/>
      <c r="F49" s="69">
        <f>116.59-1143.46</f>
        <v>-1026.8700000000001</v>
      </c>
      <c r="G49" s="68"/>
      <c r="H49" s="68">
        <f>+D49+E49-F49</f>
        <v>-2.5011104298755527E-12</v>
      </c>
      <c r="I49" s="72"/>
      <c r="J49" s="47">
        <f>2770.88-11.47+1433.26-5.68</f>
        <v>4186.99</v>
      </c>
      <c r="K49" s="47">
        <f>6755.33-179.34+13298.46-362.22</f>
        <v>19512.229999999996</v>
      </c>
    </row>
    <row r="50" spans="3:12" ht="13.5" customHeight="1" thickBot="1" x14ac:dyDescent="0.25">
      <c r="C50" s="71" t="s">
        <v>60</v>
      </c>
      <c r="D50" s="70">
        <f>7693.34-392.43-752.45-227.86</f>
        <v>6320.6</v>
      </c>
      <c r="E50" s="69">
        <f>31374.45+9248.61</f>
        <v>40623.06</v>
      </c>
      <c r="F50" s="69">
        <f>32722.3+9791.8</f>
        <v>42514.1</v>
      </c>
      <c r="G50" s="68">
        <f>+E50</f>
        <v>40623.06</v>
      </c>
      <c r="H50" s="68">
        <f>+D50+E50-F50</f>
        <v>4429.5599999999977</v>
      </c>
      <c r="I50" s="72" t="s">
        <v>59</v>
      </c>
    </row>
    <row r="51" spans="3:12" ht="13.5" customHeight="1" thickBot="1" x14ac:dyDescent="0.25">
      <c r="C51" s="71" t="s">
        <v>58</v>
      </c>
      <c r="D51" s="70">
        <f>7126.35-2165.77-63.78</f>
        <v>4896.8</v>
      </c>
      <c r="E51" s="69">
        <v>42832.4</v>
      </c>
      <c r="F51" s="69">
        <v>43028.81</v>
      </c>
      <c r="G51" s="68">
        <v>56253.72</v>
      </c>
      <c r="H51" s="68">
        <f>+D51+E51-F51</f>
        <v>4700.3900000000067</v>
      </c>
      <c r="I51" s="67" t="s">
        <v>57</v>
      </c>
      <c r="J51" s="47">
        <f>2396-7.36</f>
        <v>2388.64</v>
      </c>
    </row>
    <row r="52" spans="3:12" ht="13.5" customHeight="1" thickBot="1" x14ac:dyDescent="0.25">
      <c r="C52" s="66" t="s">
        <v>56</v>
      </c>
      <c r="D52" s="65">
        <f>SUM(D42:D51)</f>
        <v>128128.06999999999</v>
      </c>
      <c r="E52" s="65">
        <f>SUM(E42:E51)</f>
        <v>1132623.78</v>
      </c>
      <c r="F52" s="65">
        <f>SUM(F42:F51)</f>
        <v>1138141.32</v>
      </c>
      <c r="G52" s="65">
        <f>SUM(G42:G51)</f>
        <v>1582890.96</v>
      </c>
      <c r="H52" s="65">
        <f>SUM(H42:H51)</f>
        <v>122610.53</v>
      </c>
      <c r="I52" s="64"/>
      <c r="L52" s="63"/>
    </row>
    <row r="53" spans="3:12" ht="13.5" customHeight="1" thickBot="1" x14ac:dyDescent="0.25">
      <c r="C53" s="62" t="s">
        <v>55</v>
      </c>
      <c r="D53" s="62"/>
      <c r="E53" s="62"/>
      <c r="F53" s="62"/>
      <c r="G53" s="62"/>
      <c r="H53" s="62"/>
      <c r="I53" s="62"/>
    </row>
    <row r="54" spans="3:12" ht="49.5" customHeight="1" thickBot="1" x14ac:dyDescent="0.25">
      <c r="C54" s="58" t="s">
        <v>54</v>
      </c>
      <c r="D54" s="61" t="s">
        <v>53</v>
      </c>
      <c r="E54" s="61"/>
      <c r="F54" s="61"/>
      <c r="G54" s="61"/>
      <c r="H54" s="61"/>
      <c r="I54" s="60" t="s">
        <v>52</v>
      </c>
    </row>
    <row r="55" spans="3:12" ht="30.75" customHeight="1" thickBot="1" x14ac:dyDescent="0.25">
      <c r="C55" s="58" t="s">
        <v>49</v>
      </c>
      <c r="D55" s="57" t="s">
        <v>51</v>
      </c>
      <c r="E55" s="56"/>
      <c r="F55" s="56"/>
      <c r="G55" s="56"/>
      <c r="H55" s="55"/>
      <c r="I55" s="59" t="s">
        <v>50</v>
      </c>
    </row>
    <row r="56" spans="3:12" ht="33.75" customHeight="1" thickBot="1" x14ac:dyDescent="0.25">
      <c r="C56" s="58" t="s">
        <v>49</v>
      </c>
      <c r="D56" s="57" t="s">
        <v>48</v>
      </c>
      <c r="E56" s="56"/>
      <c r="F56" s="56"/>
      <c r="G56" s="56"/>
      <c r="H56" s="55"/>
      <c r="I56" s="54" t="s">
        <v>47</v>
      </c>
    </row>
    <row r="57" spans="3:12" ht="14.25" customHeight="1" x14ac:dyDescent="0.3">
      <c r="C57" s="53" t="s">
        <v>46</v>
      </c>
      <c r="D57" s="53"/>
      <c r="E57" s="53"/>
      <c r="F57" s="53"/>
      <c r="G57" s="53"/>
      <c r="H57" s="52">
        <f>+H39+H52</f>
        <v>121527.73</v>
      </c>
    </row>
    <row r="58" spans="3:12" x14ac:dyDescent="0.2">
      <c r="C58" s="48" t="s">
        <v>45</v>
      </c>
    </row>
    <row r="59" spans="3:12" x14ac:dyDescent="0.2">
      <c r="C59" s="47"/>
      <c r="D59" s="47"/>
      <c r="E59" s="47"/>
      <c r="F59" s="47"/>
      <c r="G59" s="47"/>
      <c r="H59" s="47"/>
    </row>
    <row r="60" spans="3:12" hidden="1" x14ac:dyDescent="0.2">
      <c r="D60" s="51">
        <f>+D42+D43+D47</f>
        <v>109746.07</v>
      </c>
      <c r="E60" s="51">
        <f>+E42+E43+E47</f>
        <v>960154.55999999994</v>
      </c>
      <c r="F60" s="51">
        <f>+F42+F43+F47</f>
        <v>964535.89</v>
      </c>
      <c r="G60" s="51">
        <f>+G42+G43+G47</f>
        <v>1110063.28</v>
      </c>
      <c r="H60" s="51">
        <f>+H42+H43+H47</f>
        <v>105364.74</v>
      </c>
    </row>
    <row r="61" spans="3:12" hidden="1" x14ac:dyDescent="0.2">
      <c r="D61" s="49"/>
      <c r="H61" s="48">
        <f>18321.03+90551.64+5016.83+10564.49+1204.49+17522.16+8732.02+18210.35+6476.68+1515.53+11026.5</f>
        <v>189141.72</v>
      </c>
    </row>
    <row r="62" spans="3:12" hidden="1" x14ac:dyDescent="0.2">
      <c r="H62" s="49">
        <f>+H52-H61</f>
        <v>-66531.19</v>
      </c>
    </row>
    <row r="63" spans="3:12" x14ac:dyDescent="0.2">
      <c r="C63" s="48" t="s">
        <v>44</v>
      </c>
      <c r="E63" s="49">
        <f>+E52+E39+31200+6817.77+20453.31</f>
        <v>1192400.1300000001</v>
      </c>
      <c r="F63" s="49"/>
      <c r="G63" s="49">
        <f>+G52+G39</f>
        <v>1584196.23</v>
      </c>
    </row>
    <row r="65" spans="4:4" hidden="1" x14ac:dyDescent="0.2">
      <c r="D65" s="50">
        <f>200673.1+2913.82</f>
        <v>203586.92</v>
      </c>
    </row>
    <row r="66" spans="4:4" hidden="1" x14ac:dyDescent="0.2">
      <c r="D66" s="48">
        <v>333335.99</v>
      </c>
    </row>
    <row r="67" spans="4:4" hidden="1" x14ac:dyDescent="0.2">
      <c r="D67" s="49">
        <f>+D66-D52-D39</f>
        <v>203586.91999999998</v>
      </c>
    </row>
  </sheetData>
  <mergeCells count="12">
    <mergeCell ref="I42:I43"/>
    <mergeCell ref="C53:I53"/>
    <mergeCell ref="D54:H54"/>
    <mergeCell ref="D56:H56"/>
    <mergeCell ref="I34:I38"/>
    <mergeCell ref="D55:H55"/>
    <mergeCell ref="C28:I28"/>
    <mergeCell ref="C29:I29"/>
    <mergeCell ref="C30:I30"/>
    <mergeCell ref="C31:I31"/>
    <mergeCell ref="C33:I33"/>
    <mergeCell ref="C40:I40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A1170-A0E2-4879-8B2E-C7CA88E088F8}">
  <dimension ref="A13:I30"/>
  <sheetViews>
    <sheetView topLeftCell="A16" zoomScaleNormal="100" zoomScaleSheetLayoutView="120" workbookViewId="0">
      <selection activeCell="I19" sqref="I19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3" spans="1:9" x14ac:dyDescent="0.25">
      <c r="A13" s="38" t="s">
        <v>22</v>
      </c>
      <c r="B13" s="38"/>
      <c r="C13" s="38"/>
      <c r="D13" s="38"/>
      <c r="E13" s="38"/>
      <c r="F13" s="38"/>
      <c r="G13" s="38"/>
      <c r="H13" s="38"/>
      <c r="I13" s="38"/>
    </row>
    <row r="14" spans="1:9" x14ac:dyDescent="0.25">
      <c r="A14" s="38" t="s">
        <v>21</v>
      </c>
      <c r="B14" s="38"/>
      <c r="C14" s="38"/>
      <c r="D14" s="38"/>
      <c r="E14" s="38"/>
      <c r="F14" s="38"/>
      <c r="G14" s="38"/>
      <c r="H14" s="38"/>
      <c r="I14" s="38"/>
    </row>
    <row r="15" spans="1:9" x14ac:dyDescent="0.25">
      <c r="A15" s="38" t="s">
        <v>20</v>
      </c>
      <c r="B15" s="38"/>
      <c r="C15" s="38"/>
      <c r="D15" s="38"/>
      <c r="E15" s="38"/>
      <c r="F15" s="38"/>
      <c r="G15" s="38"/>
      <c r="H15" s="38"/>
      <c r="I15" s="38"/>
    </row>
    <row r="16" spans="1:9" ht="60" x14ac:dyDescent="0.25">
      <c r="A16" s="9" t="s">
        <v>19</v>
      </c>
      <c r="B16" s="9" t="s">
        <v>18</v>
      </c>
      <c r="C16" s="9" t="s">
        <v>17</v>
      </c>
      <c r="D16" s="9" t="s">
        <v>16</v>
      </c>
      <c r="E16" s="9" t="s">
        <v>15</v>
      </c>
      <c r="F16" s="9" t="s">
        <v>14</v>
      </c>
      <c r="G16" s="9" t="s">
        <v>13</v>
      </c>
      <c r="H16" s="9" t="s">
        <v>12</v>
      </c>
      <c r="I16" s="9" t="s">
        <v>11</v>
      </c>
    </row>
    <row r="17" spans="1:9" x14ac:dyDescent="0.25">
      <c r="A17" s="8" t="s">
        <v>10</v>
      </c>
      <c r="B17" s="7">
        <v>-13.49</v>
      </c>
      <c r="C17" s="7">
        <v>0</v>
      </c>
      <c r="D17" s="7">
        <v>165.74</v>
      </c>
      <c r="E17" s="7">
        <v>166.49</v>
      </c>
      <c r="F17" s="7">
        <v>58.47</v>
      </c>
      <c r="G17" s="6">
        <v>300.63047999999998</v>
      </c>
      <c r="H17" s="5">
        <v>18.18844</v>
      </c>
      <c r="I17" s="5">
        <f>B17+D17+F17-G17-G18</f>
        <v>-89.910479999999978</v>
      </c>
    </row>
    <row r="18" spans="1:9" x14ac:dyDescent="0.25">
      <c r="F18" s="4"/>
      <c r="G18" s="3"/>
    </row>
    <row r="19" spans="1:9" x14ac:dyDescent="0.25">
      <c r="A19" t="s">
        <v>9</v>
      </c>
    </row>
    <row r="20" spans="1:9" x14ac:dyDescent="0.25">
      <c r="A20" s="2" t="s">
        <v>8</v>
      </c>
      <c r="B20" s="2"/>
      <c r="C20" s="2"/>
      <c r="D20" s="2"/>
      <c r="E20" s="2"/>
      <c r="F20" s="2"/>
      <c r="G20" s="2"/>
    </row>
    <row r="21" spans="1:9" x14ac:dyDescent="0.25">
      <c r="A21" s="2" t="s">
        <v>7</v>
      </c>
      <c r="B21" s="2"/>
      <c r="C21" s="2"/>
      <c r="D21" s="2"/>
      <c r="E21" s="2"/>
      <c r="F21" s="2"/>
      <c r="G21" s="2"/>
    </row>
    <row r="22" spans="1:9" x14ac:dyDescent="0.25">
      <c r="A22" s="2" t="s">
        <v>6</v>
      </c>
      <c r="B22" s="2"/>
      <c r="C22" s="2"/>
      <c r="D22" s="2"/>
      <c r="E22" s="2"/>
      <c r="F22" s="2"/>
      <c r="G22" s="2"/>
    </row>
    <row r="23" spans="1:9" x14ac:dyDescent="0.25">
      <c r="A23" s="2" t="s">
        <v>5</v>
      </c>
      <c r="B23" s="2"/>
      <c r="C23" s="2"/>
      <c r="D23" s="2"/>
      <c r="E23" s="2"/>
      <c r="F23" s="2"/>
      <c r="G23" s="2"/>
    </row>
    <row r="24" spans="1:9" x14ac:dyDescent="0.25">
      <c r="A24" s="2" t="s">
        <v>4</v>
      </c>
      <c r="B24" s="2"/>
      <c r="C24" s="2"/>
      <c r="D24" s="2"/>
      <c r="E24" s="2"/>
      <c r="F24" s="2"/>
      <c r="G24" s="2"/>
    </row>
    <row r="25" spans="1:9" x14ac:dyDescent="0.25">
      <c r="A25" s="2" t="s">
        <v>3</v>
      </c>
      <c r="B25" s="2"/>
      <c r="C25" s="2"/>
      <c r="D25" s="2"/>
      <c r="E25" s="2"/>
      <c r="F25" s="2"/>
      <c r="G25" s="2"/>
    </row>
    <row r="26" spans="1:9" x14ac:dyDescent="0.25">
      <c r="A26" s="2" t="s">
        <v>2</v>
      </c>
      <c r="B26" s="2"/>
      <c r="C26" s="2"/>
      <c r="D26" s="2"/>
      <c r="E26" s="2"/>
      <c r="F26" s="2"/>
      <c r="G26" s="2"/>
    </row>
    <row r="27" spans="1:9" x14ac:dyDescent="0.25">
      <c r="A27" t="s">
        <v>1</v>
      </c>
    </row>
    <row r="28" spans="1:9" x14ac:dyDescent="0.25">
      <c r="A28" s="2" t="s">
        <v>0</v>
      </c>
    </row>
    <row r="29" spans="1:9" x14ac:dyDescent="0.25">
      <c r="A29" s="2"/>
    </row>
    <row r="30" spans="1:9" ht="18.75" x14ac:dyDescent="0.3">
      <c r="G30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6B4A1-9BB6-4401-ABA5-8942518F1A57}">
  <dimension ref="B2:J21"/>
  <sheetViews>
    <sheetView zoomScaleNormal="100" zoomScaleSheetLayoutView="120" workbookViewId="0">
      <selection activeCell="F16" sqref="F16"/>
    </sheetView>
  </sheetViews>
  <sheetFormatPr defaultRowHeight="15" x14ac:dyDescent="0.25"/>
  <cols>
    <col min="2" max="2" width="13.85546875" customWidth="1"/>
    <col min="3" max="3" width="13" customWidth="1"/>
    <col min="4" max="4" width="7" customWidth="1"/>
    <col min="5" max="5" width="15.7109375" customWidth="1"/>
    <col min="6" max="6" width="13.5703125" customWidth="1"/>
    <col min="7" max="7" width="13.28515625" customWidth="1"/>
    <col min="8" max="8" width="14.28515625" customWidth="1"/>
    <col min="9" max="9" width="15.140625" customWidth="1"/>
    <col min="10" max="10" width="14.28515625" customWidth="1"/>
  </cols>
  <sheetData>
    <row r="2" spans="2:10" x14ac:dyDescent="0.25">
      <c r="B2" s="39" t="s">
        <v>43</v>
      </c>
      <c r="C2" s="39"/>
      <c r="D2" s="39"/>
      <c r="E2" s="39"/>
      <c r="F2" s="39"/>
      <c r="G2" s="39"/>
      <c r="H2" s="39"/>
      <c r="I2" s="39"/>
      <c r="J2" s="37"/>
    </row>
    <row r="4" spans="2:10" x14ac:dyDescent="0.25">
      <c r="B4" s="36"/>
      <c r="C4" s="35"/>
      <c r="D4" s="34"/>
      <c r="E4" s="33" t="s">
        <v>42</v>
      </c>
      <c r="F4" s="32"/>
      <c r="G4" s="40" t="s">
        <v>41</v>
      </c>
      <c r="H4" s="41"/>
      <c r="I4" s="20"/>
    </row>
    <row r="5" spans="2:10" ht="39" x14ac:dyDescent="0.25">
      <c r="B5" s="31" t="s">
        <v>40</v>
      </c>
      <c r="C5" s="42" t="s">
        <v>39</v>
      </c>
      <c r="D5" s="43"/>
      <c r="E5" s="30" t="s">
        <v>38</v>
      </c>
      <c r="F5" s="30" t="s">
        <v>37</v>
      </c>
      <c r="G5" s="29" t="s">
        <v>36</v>
      </c>
      <c r="H5" s="28" t="s">
        <v>35</v>
      </c>
      <c r="I5" s="20"/>
    </row>
    <row r="6" spans="2:10" ht="15" customHeight="1" x14ac:dyDescent="0.25">
      <c r="B6" s="27" t="s">
        <v>34</v>
      </c>
      <c r="C6" s="44" t="s">
        <v>33</v>
      </c>
      <c r="D6" s="45"/>
      <c r="E6" s="26"/>
      <c r="F6" s="24">
        <v>2154300</v>
      </c>
      <c r="G6" s="24">
        <v>338300</v>
      </c>
      <c r="H6" s="24">
        <f>+F6-G6</f>
        <v>1816000</v>
      </c>
      <c r="I6" s="20"/>
    </row>
    <row r="7" spans="2:10" x14ac:dyDescent="0.25">
      <c r="B7" s="25"/>
      <c r="C7" s="46"/>
      <c r="D7" s="46"/>
      <c r="E7" s="23"/>
      <c r="F7" s="24">
        <f>G7+H7</f>
        <v>0</v>
      </c>
      <c r="G7" s="24"/>
      <c r="H7" s="24"/>
    </row>
    <row r="8" spans="2:10" x14ac:dyDescent="0.25">
      <c r="B8" s="23" t="s">
        <v>32</v>
      </c>
      <c r="C8" s="21"/>
      <c r="D8" s="21"/>
      <c r="E8" s="21"/>
      <c r="F8" s="22">
        <f>SUM(F6:F7)</f>
        <v>2154300</v>
      </c>
      <c r="G8" s="22">
        <f>SUM(G6:G7)</f>
        <v>338300</v>
      </c>
      <c r="H8" s="22">
        <f>SUM(H6:H7)</f>
        <v>1816000</v>
      </c>
    </row>
    <row r="9" spans="2:10" x14ac:dyDescent="0.25">
      <c r="B9" s="21"/>
      <c r="C9" s="21"/>
      <c r="D9" s="21"/>
      <c r="E9" s="21"/>
      <c r="F9" s="21"/>
      <c r="G9" s="20"/>
      <c r="H9" s="20"/>
    </row>
    <row r="10" spans="2:10" x14ac:dyDescent="0.25">
      <c r="B10" s="21"/>
      <c r="C10" s="21"/>
      <c r="D10" s="21"/>
      <c r="E10" s="21"/>
      <c r="F10" s="21"/>
      <c r="G10" s="20"/>
      <c r="H10" s="20"/>
    </row>
    <row r="11" spans="2:10" x14ac:dyDescent="0.25">
      <c r="B11" s="21"/>
      <c r="C11" s="21"/>
      <c r="D11" s="21"/>
      <c r="E11" s="21"/>
      <c r="F11" s="21"/>
      <c r="G11" s="20"/>
      <c r="H11" s="20"/>
    </row>
    <row r="12" spans="2:10" x14ac:dyDescent="0.25">
      <c r="C12" s="15" t="s">
        <v>31</v>
      </c>
      <c r="D12" s="14"/>
      <c r="E12" s="14"/>
      <c r="F12" s="14"/>
      <c r="G12" s="18">
        <v>0</v>
      </c>
    </row>
    <row r="13" spans="2:10" x14ac:dyDescent="0.25">
      <c r="C13" s="15" t="s">
        <v>30</v>
      </c>
      <c r="D13" s="14"/>
      <c r="E13" s="14"/>
      <c r="F13" s="14"/>
      <c r="G13" s="19"/>
    </row>
    <row r="14" spans="2:10" x14ac:dyDescent="0.25">
      <c r="C14" s="15" t="s">
        <v>29</v>
      </c>
      <c r="D14" s="14"/>
      <c r="E14" s="14"/>
      <c r="F14" s="14"/>
      <c r="G14" s="19">
        <v>0</v>
      </c>
    </row>
    <row r="15" spans="2:10" x14ac:dyDescent="0.25">
      <c r="C15" s="15" t="s">
        <v>28</v>
      </c>
      <c r="D15" s="14"/>
      <c r="E15" s="14"/>
      <c r="F15" s="14"/>
      <c r="G15" s="18">
        <f>G12+G13-G14</f>
        <v>0</v>
      </c>
    </row>
    <row r="17" spans="3:8" x14ac:dyDescent="0.25">
      <c r="C17" s="15" t="s">
        <v>27</v>
      </c>
      <c r="D17" s="14"/>
      <c r="E17" s="14"/>
      <c r="F17" s="14"/>
      <c r="G17" s="14"/>
      <c r="H17" s="10">
        <v>219094.34</v>
      </c>
    </row>
    <row r="18" spans="3:8" x14ac:dyDescent="0.25">
      <c r="C18" s="15" t="s">
        <v>26</v>
      </c>
      <c r="D18" s="14"/>
      <c r="E18" s="14"/>
      <c r="F18" s="14"/>
      <c r="G18" s="14"/>
      <c r="H18" s="17">
        <f>+G13</f>
        <v>0</v>
      </c>
    </row>
    <row r="19" spans="3:8" x14ac:dyDescent="0.25">
      <c r="C19" s="15" t="s">
        <v>25</v>
      </c>
      <c r="D19" s="14"/>
      <c r="E19" s="14"/>
      <c r="F19" s="14"/>
      <c r="G19" s="14"/>
      <c r="H19" s="16"/>
    </row>
    <row r="20" spans="3:8" x14ac:dyDescent="0.25">
      <c r="C20" s="15" t="s">
        <v>24</v>
      </c>
      <c r="D20" s="14"/>
      <c r="E20" s="14"/>
      <c r="F20" s="14"/>
      <c r="G20" s="14"/>
      <c r="H20" s="13">
        <f>+G8</f>
        <v>338300</v>
      </c>
    </row>
    <row r="21" spans="3:8" x14ac:dyDescent="0.25">
      <c r="C21" s="12" t="s">
        <v>23</v>
      </c>
      <c r="D21" s="11"/>
      <c r="E21" s="11"/>
      <c r="F21" s="11"/>
      <c r="G21" s="11"/>
      <c r="H21" s="10">
        <f>H19+H17-H20</f>
        <v>-119205.66</v>
      </c>
    </row>
  </sheetData>
  <mergeCells count="5">
    <mergeCell ref="B2:I2"/>
    <mergeCell ref="G4:H4"/>
    <mergeCell ref="C5:D5"/>
    <mergeCell ref="C6:D6"/>
    <mergeCell ref="C7:D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ветеранов7</vt:lpstr>
      <vt:lpstr>Ветеранов 7</vt:lpstr>
      <vt:lpstr>Ветеранов 7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2022-03-02T10:48:52Z</dcterms:created>
  <dcterms:modified xsi:type="dcterms:W3CDTF">2022-03-19T18:05:46Z</dcterms:modified>
</cp:coreProperties>
</file>